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інвестиції" sheetId="6" r:id="rId1"/>
    <sheet name="програми" sheetId="5" r:id="rId2"/>
    <sheet name="1016310 показн." sheetId="15" r:id="rId3"/>
    <sheet name="1013160 показн." sheetId="14" r:id="rId4"/>
    <sheet name="1011230 показн." sheetId="13" r:id="rId5"/>
    <sheet name="1011210 показн." sheetId="12" r:id="rId6"/>
    <sheet name="1011200 показн." sheetId="11" r:id="rId7"/>
    <sheet name="1011190 показн." sheetId="10" r:id="rId8"/>
    <sheet name="1011170 показн." sheetId="8" r:id="rId9"/>
    <sheet name="1011090 показн." sheetId="7" r:id="rId10"/>
    <sheet name="1011020 показн." sheetId="4" r:id="rId11"/>
    <sheet name="звіт за 2017 рік" sheetId="1" r:id="rId12"/>
  </sheets>
  <calcPr calcId="125725"/>
</workbook>
</file>

<file path=xl/calcChain.xml><?xml version="1.0" encoding="utf-8"?>
<calcChain xmlns="http://schemas.openxmlformats.org/spreadsheetml/2006/main">
  <c r="F21" i="6"/>
  <c r="I21"/>
  <c r="I26" i="5" l="1"/>
  <c r="H26"/>
  <c r="F26"/>
  <c r="E26"/>
  <c r="I23"/>
  <c r="H23"/>
  <c r="H28" s="1"/>
  <c r="F23"/>
  <c r="E23"/>
  <c r="E28" s="1"/>
  <c r="J22"/>
  <c r="G22"/>
  <c r="G23" s="1"/>
  <c r="I20"/>
  <c r="I28" s="1"/>
  <c r="F20"/>
  <c r="J19"/>
  <c r="G19"/>
  <c r="J25"/>
  <c r="J26" s="1"/>
  <c r="G25"/>
  <c r="J24"/>
  <c r="G24"/>
  <c r="G26" s="1"/>
  <c r="J21"/>
  <c r="J23" s="1"/>
  <c r="J18"/>
  <c r="G18"/>
  <c r="K41" i="15"/>
  <c r="H41"/>
  <c r="M41"/>
  <c r="N41" s="1"/>
  <c r="M39"/>
  <c r="N39" s="1"/>
  <c r="K39"/>
  <c r="H39"/>
  <c r="M37"/>
  <c r="N37" s="1"/>
  <c r="K37"/>
  <c r="H37"/>
  <c r="M35"/>
  <c r="N35" s="1"/>
  <c r="K35"/>
  <c r="H35"/>
  <c r="M30"/>
  <c r="N30" s="1"/>
  <c r="K30"/>
  <c r="H30"/>
  <c r="K28"/>
  <c r="M27"/>
  <c r="N27" s="1"/>
  <c r="K27"/>
  <c r="G28"/>
  <c r="M28" s="1"/>
  <c r="N28" s="1"/>
  <c r="G27"/>
  <c r="H27" s="1"/>
  <c r="M25"/>
  <c r="N25" s="1"/>
  <c r="K25"/>
  <c r="H25"/>
  <c r="K23"/>
  <c r="H23"/>
  <c r="K22"/>
  <c r="M23"/>
  <c r="M22"/>
  <c r="N23"/>
  <c r="N22"/>
  <c r="H22"/>
  <c r="L29" i="14"/>
  <c r="N29" s="1"/>
  <c r="K29"/>
  <c r="L28"/>
  <c r="N28" s="1"/>
  <c r="K28"/>
  <c r="H29"/>
  <c r="H28"/>
  <c r="L25"/>
  <c r="N25" s="1"/>
  <c r="K25"/>
  <c r="H26"/>
  <c r="H25"/>
  <c r="L23"/>
  <c r="N23" s="1"/>
  <c r="K23"/>
  <c r="H23"/>
  <c r="H22"/>
  <c r="L26"/>
  <c r="N26" s="1"/>
  <c r="K26"/>
  <c r="L22"/>
  <c r="N22" s="1"/>
  <c r="K22"/>
  <c r="L24" i="13"/>
  <c r="N24" s="1"/>
  <c r="K24"/>
  <c r="H24"/>
  <c r="L22"/>
  <c r="N22" s="1"/>
  <c r="K22"/>
  <c r="H22"/>
  <c r="I27" i="12"/>
  <c r="F27"/>
  <c r="H26"/>
  <c r="H25"/>
  <c r="L24"/>
  <c r="N24" s="1"/>
  <c r="K24"/>
  <c r="H24"/>
  <c r="L23"/>
  <c r="N23" s="1"/>
  <c r="K23"/>
  <c r="H23"/>
  <c r="H22"/>
  <c r="L31"/>
  <c r="N31" s="1"/>
  <c r="K31"/>
  <c r="H31"/>
  <c r="L29"/>
  <c r="N29" s="1"/>
  <c r="K29"/>
  <c r="H29"/>
  <c r="L26"/>
  <c r="N26" s="1"/>
  <c r="K26"/>
  <c r="L25"/>
  <c r="N25" s="1"/>
  <c r="K25"/>
  <c r="L22"/>
  <c r="N22" s="1"/>
  <c r="K22"/>
  <c r="L26" i="11"/>
  <c r="N26" s="1"/>
  <c r="K26"/>
  <c r="H26"/>
  <c r="L33"/>
  <c r="N33" s="1"/>
  <c r="K33"/>
  <c r="H33"/>
  <c r="L32"/>
  <c r="N32" s="1"/>
  <c r="K32"/>
  <c r="H32"/>
  <c r="L30"/>
  <c r="N30" s="1"/>
  <c r="K30"/>
  <c r="H30"/>
  <c r="L29"/>
  <c r="N29" s="1"/>
  <c r="K29"/>
  <c r="H29"/>
  <c r="I27"/>
  <c r="K27" s="1"/>
  <c r="F27"/>
  <c r="L25"/>
  <c r="N25" s="1"/>
  <c r="K25"/>
  <c r="H25"/>
  <c r="L22"/>
  <c r="N22" s="1"/>
  <c r="K22"/>
  <c r="H22"/>
  <c r="K35" i="10"/>
  <c r="L35"/>
  <c r="N35" s="1"/>
  <c r="H35"/>
  <c r="L34"/>
  <c r="N34" s="1"/>
  <c r="N32"/>
  <c r="K32"/>
  <c r="L32"/>
  <c r="H32"/>
  <c r="L31"/>
  <c r="N31" s="1"/>
  <c r="K31"/>
  <c r="H31"/>
  <c r="L30"/>
  <c r="N30" s="1"/>
  <c r="K30"/>
  <c r="H30"/>
  <c r="H25"/>
  <c r="L36"/>
  <c r="N36" s="1"/>
  <c r="K36"/>
  <c r="H36"/>
  <c r="K34"/>
  <c r="H34"/>
  <c r="L29"/>
  <c r="N29" s="1"/>
  <c r="K29"/>
  <c r="H29"/>
  <c r="I27"/>
  <c r="K27" s="1"/>
  <c r="F27"/>
  <c r="L25"/>
  <c r="N25" s="1"/>
  <c r="K25"/>
  <c r="L22"/>
  <c r="N22" s="1"/>
  <c r="K22"/>
  <c r="H22"/>
  <c r="N38" i="8"/>
  <c r="K38"/>
  <c r="I38"/>
  <c r="H38"/>
  <c r="F38"/>
  <c r="H36"/>
  <c r="I34"/>
  <c r="H33"/>
  <c r="H31"/>
  <c r="H29"/>
  <c r="F34"/>
  <c r="N26"/>
  <c r="I26"/>
  <c r="K26" s="1"/>
  <c r="F26"/>
  <c r="H26" s="1"/>
  <c r="L40"/>
  <c r="N40" s="1"/>
  <c r="K40"/>
  <c r="H40"/>
  <c r="L36"/>
  <c r="N36" s="1"/>
  <c r="K33"/>
  <c r="L32"/>
  <c r="N32" s="1"/>
  <c r="K32"/>
  <c r="L31"/>
  <c r="N31" s="1"/>
  <c r="K31"/>
  <c r="L30"/>
  <c r="N30" s="1"/>
  <c r="K30"/>
  <c r="L29"/>
  <c r="N29" s="1"/>
  <c r="K29"/>
  <c r="L24"/>
  <c r="N24" s="1"/>
  <c r="K24"/>
  <c r="H24"/>
  <c r="L22"/>
  <c r="N22" s="1"/>
  <c r="K22"/>
  <c r="H22"/>
  <c r="L127" i="7"/>
  <c r="N127" s="1"/>
  <c r="K127"/>
  <c r="H126"/>
  <c r="H125"/>
  <c r="H124"/>
  <c r="I126"/>
  <c r="K126" s="1"/>
  <c r="I125"/>
  <c r="L125" s="1"/>
  <c r="N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F123"/>
  <c r="L123" s="1"/>
  <c r="N123" s="1"/>
  <c r="F122"/>
  <c r="H122" s="1"/>
  <c r="F121"/>
  <c r="L121" s="1"/>
  <c r="N121" s="1"/>
  <c r="F120"/>
  <c r="H120" s="1"/>
  <c r="F119"/>
  <c r="H119" s="1"/>
  <c r="F118"/>
  <c r="H118" s="1"/>
  <c r="F117"/>
  <c r="H117" s="1"/>
  <c r="F116"/>
  <c r="H116" s="1"/>
  <c r="F115"/>
  <c r="H115" s="1"/>
  <c r="F114"/>
  <c r="H114" s="1"/>
  <c r="F113"/>
  <c r="H113" s="1"/>
  <c r="F112"/>
  <c r="H112" s="1"/>
  <c r="F111"/>
  <c r="H111" s="1"/>
  <c r="F110"/>
  <c r="H110" s="1"/>
  <c r="F109"/>
  <c r="H109" s="1"/>
  <c r="F108"/>
  <c r="H108" s="1"/>
  <c r="F107"/>
  <c r="H107" s="1"/>
  <c r="F106"/>
  <c r="H106" s="1"/>
  <c r="F105"/>
  <c r="H105" s="1"/>
  <c r="F104"/>
  <c r="H104" s="1"/>
  <c r="F103"/>
  <c r="H103" s="1"/>
  <c r="F102"/>
  <c r="H102" s="1"/>
  <c r="F101"/>
  <c r="H101" s="1"/>
  <c r="F100"/>
  <c r="H100" s="1"/>
  <c r="F99"/>
  <c r="H99" s="1"/>
  <c r="F98"/>
  <c r="H98" s="1"/>
  <c r="F97"/>
  <c r="H97" s="1"/>
  <c r="F96"/>
  <c r="H96" s="1"/>
  <c r="F95"/>
  <c r="H95" s="1"/>
  <c r="F94"/>
  <c r="H94" s="1"/>
  <c r="K92"/>
  <c r="H91"/>
  <c r="I91"/>
  <c r="L91" s="1"/>
  <c r="N91" s="1"/>
  <c r="I90"/>
  <c r="I89"/>
  <c r="I88"/>
  <c r="K88" s="1"/>
  <c r="I87"/>
  <c r="I86"/>
  <c r="I85"/>
  <c r="I84"/>
  <c r="K84" s="1"/>
  <c r="I83"/>
  <c r="I82"/>
  <c r="I81"/>
  <c r="I80"/>
  <c r="K80" s="1"/>
  <c r="F92"/>
  <c r="L92" s="1"/>
  <c r="N92" s="1"/>
  <c r="F90"/>
  <c r="H90" s="1"/>
  <c r="F89"/>
  <c r="H89" s="1"/>
  <c r="F88"/>
  <c r="H88" s="1"/>
  <c r="F87"/>
  <c r="H87" s="1"/>
  <c r="F86"/>
  <c r="H86" s="1"/>
  <c r="F85"/>
  <c r="H85" s="1"/>
  <c r="F84"/>
  <c r="H84" s="1"/>
  <c r="F83"/>
  <c r="H83" s="1"/>
  <c r="F82"/>
  <c r="H82" s="1"/>
  <c r="F81"/>
  <c r="H81" s="1"/>
  <c r="F80"/>
  <c r="H80" s="1"/>
  <c r="L78"/>
  <c r="N78" s="1"/>
  <c r="L77"/>
  <c r="N77" s="1"/>
  <c r="L76"/>
  <c r="N76" s="1"/>
  <c r="L75"/>
  <c r="N75" s="1"/>
  <c r="L74"/>
  <c r="N74" s="1"/>
  <c r="L73"/>
  <c r="N73" s="1"/>
  <c r="L72"/>
  <c r="N72" s="1"/>
  <c r="L71"/>
  <c r="N71" s="1"/>
  <c r="L70"/>
  <c r="N70" s="1"/>
  <c r="L69"/>
  <c r="N69" s="1"/>
  <c r="L68"/>
  <c r="N68" s="1"/>
  <c r="L67"/>
  <c r="N67" s="1"/>
  <c r="K78"/>
  <c r="K77"/>
  <c r="K76"/>
  <c r="K75"/>
  <c r="K74"/>
  <c r="K73"/>
  <c r="K72"/>
  <c r="K71"/>
  <c r="K70"/>
  <c r="K69"/>
  <c r="K68"/>
  <c r="K67"/>
  <c r="H78"/>
  <c r="H77"/>
  <c r="H76"/>
  <c r="H75"/>
  <c r="H74"/>
  <c r="H73"/>
  <c r="H72"/>
  <c r="H71"/>
  <c r="H70"/>
  <c r="H69"/>
  <c r="H68"/>
  <c r="H67"/>
  <c r="I66"/>
  <c r="K66" s="1"/>
  <c r="F66"/>
  <c r="H66" s="1"/>
  <c r="L65"/>
  <c r="N65" s="1"/>
  <c r="L64"/>
  <c r="N64" s="1"/>
  <c r="L63"/>
  <c r="N63" s="1"/>
  <c r="K65"/>
  <c r="K64"/>
  <c r="K63"/>
  <c r="L62"/>
  <c r="N62" s="1"/>
  <c r="L61"/>
  <c r="N61" s="1"/>
  <c r="L60"/>
  <c r="N60" s="1"/>
  <c r="K62"/>
  <c r="K61"/>
  <c r="K60"/>
  <c r="H62"/>
  <c r="H61"/>
  <c r="H60"/>
  <c r="L59"/>
  <c r="N59" s="1"/>
  <c r="L58"/>
  <c r="N58" s="1"/>
  <c r="L57"/>
  <c r="N57" s="1"/>
  <c r="K59"/>
  <c r="K58"/>
  <c r="K57"/>
  <c r="H59"/>
  <c r="H58"/>
  <c r="H57"/>
  <c r="L56"/>
  <c r="N56" s="1"/>
  <c r="L55"/>
  <c r="N55" s="1"/>
  <c r="L54"/>
  <c r="N54" s="1"/>
  <c r="K56"/>
  <c r="K55"/>
  <c r="K54"/>
  <c r="H56"/>
  <c r="H55"/>
  <c r="H54"/>
  <c r="L53"/>
  <c r="N53" s="1"/>
  <c r="L52"/>
  <c r="N52" s="1"/>
  <c r="L51"/>
  <c r="N51" s="1"/>
  <c r="K53"/>
  <c r="K52"/>
  <c r="K51"/>
  <c r="H53"/>
  <c r="H52"/>
  <c r="H51"/>
  <c r="L50"/>
  <c r="N50" s="1"/>
  <c r="L49"/>
  <c r="N49" s="1"/>
  <c r="L48"/>
  <c r="N48" s="1"/>
  <c r="K50"/>
  <c r="K49"/>
  <c r="K48"/>
  <c r="H50"/>
  <c r="H49"/>
  <c r="H48"/>
  <c r="L47"/>
  <c r="N47" s="1"/>
  <c r="L46"/>
  <c r="N46" s="1"/>
  <c r="L45"/>
  <c r="N45" s="1"/>
  <c r="K47"/>
  <c r="K46"/>
  <c r="K45"/>
  <c r="H47"/>
  <c r="H46"/>
  <c r="H45"/>
  <c r="L44"/>
  <c r="N44" s="1"/>
  <c r="L43"/>
  <c r="N43" s="1"/>
  <c r="L42"/>
  <c r="N42" s="1"/>
  <c r="K44"/>
  <c r="K43"/>
  <c r="K42"/>
  <c r="H44"/>
  <c r="H43"/>
  <c r="H42"/>
  <c r="L41"/>
  <c r="N41" s="1"/>
  <c r="L40"/>
  <c r="N40" s="1"/>
  <c r="L39"/>
  <c r="N39" s="1"/>
  <c r="K41"/>
  <c r="K40"/>
  <c r="K39"/>
  <c r="H41"/>
  <c r="H40"/>
  <c r="H39"/>
  <c r="L38"/>
  <c r="N38" s="1"/>
  <c r="L37"/>
  <c r="N37" s="1"/>
  <c r="L36"/>
  <c r="N36" s="1"/>
  <c r="K38"/>
  <c r="K37"/>
  <c r="K36"/>
  <c r="H38"/>
  <c r="H37"/>
  <c r="H36"/>
  <c r="L35"/>
  <c r="N35" s="1"/>
  <c r="K35"/>
  <c r="H35"/>
  <c r="L34"/>
  <c r="N34" s="1"/>
  <c r="K34"/>
  <c r="H34"/>
  <c r="I33"/>
  <c r="K33" s="1"/>
  <c r="F33"/>
  <c r="H33" s="1"/>
  <c r="L32"/>
  <c r="N32" s="1"/>
  <c r="L31"/>
  <c r="N31" s="1"/>
  <c r="K32"/>
  <c r="K31"/>
  <c r="I30"/>
  <c r="K30" s="1"/>
  <c r="H32"/>
  <c r="H31"/>
  <c r="F30"/>
  <c r="H30" s="1"/>
  <c r="I28"/>
  <c r="F28"/>
  <c r="H28" s="1"/>
  <c r="K28"/>
  <c r="L27"/>
  <c r="N27" s="1"/>
  <c r="K27"/>
  <c r="H27"/>
  <c r="L26"/>
  <c r="N26" s="1"/>
  <c r="K26"/>
  <c r="H26"/>
  <c r="L25"/>
  <c r="N25" s="1"/>
  <c r="K25"/>
  <c r="H25"/>
  <c r="L24"/>
  <c r="N24" s="1"/>
  <c r="K24"/>
  <c r="H24"/>
  <c r="L23"/>
  <c r="N23" s="1"/>
  <c r="K23"/>
  <c r="H23"/>
  <c r="L22"/>
  <c r="N22" s="1"/>
  <c r="K22"/>
  <c r="H22"/>
  <c r="L39" i="4"/>
  <c r="N39" s="1"/>
  <c r="K39"/>
  <c r="H39"/>
  <c r="L37"/>
  <c r="N37" s="1"/>
  <c r="K37"/>
  <c r="H37"/>
  <c r="H36"/>
  <c r="I36"/>
  <c r="L36" s="1"/>
  <c r="N36" s="1"/>
  <c r="H28"/>
  <c r="K28"/>
  <c r="L28"/>
  <c r="N28" s="1"/>
  <c r="H29"/>
  <c r="K29"/>
  <c r="L29"/>
  <c r="N29" s="1"/>
  <c r="I34"/>
  <c r="K34" s="1"/>
  <c r="F34"/>
  <c r="L33"/>
  <c r="N33" s="1"/>
  <c r="L32"/>
  <c r="N32" s="1"/>
  <c r="L31"/>
  <c r="N31" s="1"/>
  <c r="L30"/>
  <c r="N30" s="1"/>
  <c r="N27"/>
  <c r="L26"/>
  <c r="N26" s="1"/>
  <c r="L25"/>
  <c r="N25" s="1"/>
  <c r="L24"/>
  <c r="N24" s="1"/>
  <c r="L23"/>
  <c r="N23" s="1"/>
  <c r="K33"/>
  <c r="K32"/>
  <c r="K31"/>
  <c r="K30"/>
  <c r="K26"/>
  <c r="K25"/>
  <c r="K24"/>
  <c r="K23"/>
  <c r="H34"/>
  <c r="H33"/>
  <c r="H32"/>
  <c r="H31"/>
  <c r="H30"/>
  <c r="H26"/>
  <c r="H25"/>
  <c r="H24"/>
  <c r="H23"/>
  <c r="L22"/>
  <c r="N22" s="1"/>
  <c r="K22"/>
  <c r="H22"/>
  <c r="I131" i="1"/>
  <c r="E94"/>
  <c r="E90" s="1"/>
  <c r="E96"/>
  <c r="E42"/>
  <c r="D42"/>
  <c r="G43"/>
  <c r="F43"/>
  <c r="E43"/>
  <c r="D43"/>
  <c r="G41"/>
  <c r="G40" s="1"/>
  <c r="F41"/>
  <c r="F40" s="1"/>
  <c r="E41"/>
  <c r="E40" s="1"/>
  <c r="D41"/>
  <c r="D40" s="1"/>
  <c r="G39"/>
  <c r="F39"/>
  <c r="E39"/>
  <c r="E38" s="1"/>
  <c r="E37" s="1"/>
  <c r="D39"/>
  <c r="G36"/>
  <c r="F36"/>
  <c r="E36"/>
  <c r="D36"/>
  <c r="G35"/>
  <c r="G34" s="1"/>
  <c r="F35"/>
  <c r="F34"/>
  <c r="E35"/>
  <c r="E34" s="1"/>
  <c r="D35"/>
  <c r="D34" s="1"/>
  <c r="G33"/>
  <c r="G32" s="1"/>
  <c r="F33"/>
  <c r="F32" s="1"/>
  <c r="E33"/>
  <c r="E32" s="1"/>
  <c r="D33"/>
  <c r="D32" s="1"/>
  <c r="E31"/>
  <c r="G31"/>
  <c r="F31"/>
  <c r="D31"/>
  <c r="G30"/>
  <c r="F30"/>
  <c r="E30"/>
  <c r="D30"/>
  <c r="G29"/>
  <c r="F29"/>
  <c r="E29"/>
  <c r="D29"/>
  <c r="G28"/>
  <c r="F28"/>
  <c r="E28"/>
  <c r="D28"/>
  <c r="G27"/>
  <c r="F27"/>
  <c r="F26" s="1"/>
  <c r="E27"/>
  <c r="E26" s="1"/>
  <c r="D27"/>
  <c r="D26" s="1"/>
  <c r="G25"/>
  <c r="F25"/>
  <c r="E25"/>
  <c r="D25"/>
  <c r="G24"/>
  <c r="F24"/>
  <c r="E24"/>
  <c r="D24"/>
  <c r="G23"/>
  <c r="F23"/>
  <c r="E23"/>
  <c r="D23"/>
  <c r="G22"/>
  <c r="F22"/>
  <c r="E22"/>
  <c r="D22"/>
  <c r="G20"/>
  <c r="F20"/>
  <c r="E20"/>
  <c r="D20"/>
  <c r="G19"/>
  <c r="F19"/>
  <c r="E19"/>
  <c r="D19"/>
  <c r="I168"/>
  <c r="I43" s="1"/>
  <c r="H168"/>
  <c r="H43" s="1"/>
  <c r="G167"/>
  <c r="G166" s="1"/>
  <c r="G169" s="1"/>
  <c r="I169" s="1"/>
  <c r="F167"/>
  <c r="F166" s="1"/>
  <c r="F169" s="1"/>
  <c r="H169" s="1"/>
  <c r="I163"/>
  <c r="H163"/>
  <c r="E162"/>
  <c r="I162" s="1"/>
  <c r="D162"/>
  <c r="H162" s="1"/>
  <c r="E161"/>
  <c r="E164" s="1"/>
  <c r="I164" s="1"/>
  <c r="D161"/>
  <c r="D164" s="1"/>
  <c r="H164" s="1"/>
  <c r="I158"/>
  <c r="H158"/>
  <c r="E157"/>
  <c r="E156" s="1"/>
  <c r="E159" s="1"/>
  <c r="I159" s="1"/>
  <c r="D157"/>
  <c r="H157" s="1"/>
  <c r="I150"/>
  <c r="H150"/>
  <c r="I147"/>
  <c r="H147"/>
  <c r="I146"/>
  <c r="H146"/>
  <c r="I145"/>
  <c r="H145"/>
  <c r="G148"/>
  <c r="F148"/>
  <c r="G144"/>
  <c r="I144" s="1"/>
  <c r="F144"/>
  <c r="H144" s="1"/>
  <c r="H143"/>
  <c r="I143"/>
  <c r="I153"/>
  <c r="H153"/>
  <c r="G152"/>
  <c r="I152" s="1"/>
  <c r="F152"/>
  <c r="H152" s="1"/>
  <c r="G151"/>
  <c r="F151"/>
  <c r="H151" s="1"/>
  <c r="I149"/>
  <c r="H149"/>
  <c r="E148"/>
  <c r="I148" s="1"/>
  <c r="D148"/>
  <c r="H148" s="1"/>
  <c r="I142"/>
  <c r="H142"/>
  <c r="I141"/>
  <c r="H141"/>
  <c r="I139"/>
  <c r="H139"/>
  <c r="I138"/>
  <c r="H138"/>
  <c r="G133"/>
  <c r="G132" s="1"/>
  <c r="I132" s="1"/>
  <c r="G125"/>
  <c r="G122" s="1"/>
  <c r="E129"/>
  <c r="E125" s="1"/>
  <c r="H131"/>
  <c r="F99"/>
  <c r="F98" s="1"/>
  <c r="G99"/>
  <c r="G98" s="1"/>
  <c r="I134"/>
  <c r="H134"/>
  <c r="I133"/>
  <c r="F133"/>
  <c r="H133" s="1"/>
  <c r="I130"/>
  <c r="H130"/>
  <c r="I129"/>
  <c r="D129"/>
  <c r="H129" s="1"/>
  <c r="I128"/>
  <c r="H128"/>
  <c r="I127"/>
  <c r="H127"/>
  <c r="I126"/>
  <c r="H126"/>
  <c r="F125"/>
  <c r="F122" s="1"/>
  <c r="D125"/>
  <c r="D122" s="1"/>
  <c r="I124"/>
  <c r="H124"/>
  <c r="I123"/>
  <c r="H123"/>
  <c r="I119"/>
  <c r="H119"/>
  <c r="I116"/>
  <c r="H116"/>
  <c r="I115"/>
  <c r="H115"/>
  <c r="I113"/>
  <c r="H113"/>
  <c r="I112"/>
  <c r="H112"/>
  <c r="I111"/>
  <c r="H111"/>
  <c r="I109"/>
  <c r="H109"/>
  <c r="I108"/>
  <c r="H108"/>
  <c r="I107"/>
  <c r="H107"/>
  <c r="I105"/>
  <c r="H105"/>
  <c r="I104"/>
  <c r="H104"/>
  <c r="F118"/>
  <c r="F117" s="1"/>
  <c r="H117" s="1"/>
  <c r="E114"/>
  <c r="I114" s="1"/>
  <c r="E110"/>
  <c r="F110"/>
  <c r="F106" s="1"/>
  <c r="F103" s="1"/>
  <c r="G118"/>
  <c r="G117" s="1"/>
  <c r="G120" s="1"/>
  <c r="D114"/>
  <c r="H114" s="1"/>
  <c r="D110"/>
  <c r="I100"/>
  <c r="H100"/>
  <c r="I97"/>
  <c r="H97"/>
  <c r="I96"/>
  <c r="I95"/>
  <c r="H95"/>
  <c r="I94"/>
  <c r="I93"/>
  <c r="H93"/>
  <c r="I92"/>
  <c r="H92"/>
  <c r="I91"/>
  <c r="H91"/>
  <c r="I89"/>
  <c r="H89"/>
  <c r="I88"/>
  <c r="H88"/>
  <c r="F90"/>
  <c r="F87" s="1"/>
  <c r="D96"/>
  <c r="H96" s="1"/>
  <c r="D94"/>
  <c r="D90" s="1"/>
  <c r="I84"/>
  <c r="H84"/>
  <c r="I83"/>
  <c r="H83"/>
  <c r="I81"/>
  <c r="H81"/>
  <c r="I80"/>
  <c r="H80"/>
  <c r="I78"/>
  <c r="H78"/>
  <c r="I77"/>
  <c r="H77"/>
  <c r="I76"/>
  <c r="H76"/>
  <c r="I74"/>
  <c r="H74"/>
  <c r="I73"/>
  <c r="H73"/>
  <c r="L34" i="4" l="1"/>
  <c r="N34" s="1"/>
  <c r="F28" i="5"/>
  <c r="J20"/>
  <c r="J28" s="1"/>
  <c r="G20"/>
  <c r="G28" s="1"/>
  <c r="H28" i="15"/>
  <c r="K27" i="12"/>
  <c r="H27"/>
  <c r="N27"/>
  <c r="L27"/>
  <c r="H27" i="11"/>
  <c r="L27"/>
  <c r="N27" s="1"/>
  <c r="H27" i="10"/>
  <c r="L27"/>
  <c r="N27" s="1"/>
  <c r="H34" i="8"/>
  <c r="L34"/>
  <c r="N34" s="1"/>
  <c r="K34"/>
  <c r="L33"/>
  <c r="N33" s="1"/>
  <c r="K36"/>
  <c r="L81" i="7"/>
  <c r="N81" s="1"/>
  <c r="L83"/>
  <c r="N83" s="1"/>
  <c r="L85"/>
  <c r="N85" s="1"/>
  <c r="L87"/>
  <c r="N87" s="1"/>
  <c r="L89"/>
  <c r="N89" s="1"/>
  <c r="H123"/>
  <c r="L95"/>
  <c r="N95" s="1"/>
  <c r="L99"/>
  <c r="N99" s="1"/>
  <c r="L103"/>
  <c r="N103" s="1"/>
  <c r="L107"/>
  <c r="N107" s="1"/>
  <c r="L111"/>
  <c r="N111" s="1"/>
  <c r="L115"/>
  <c r="N115" s="1"/>
  <c r="L119"/>
  <c r="N119" s="1"/>
  <c r="L80"/>
  <c r="N80" s="1"/>
  <c r="L82"/>
  <c r="N82" s="1"/>
  <c r="L84"/>
  <c r="N84" s="1"/>
  <c r="L86"/>
  <c r="N86" s="1"/>
  <c r="L88"/>
  <c r="N88" s="1"/>
  <c r="L90"/>
  <c r="N90" s="1"/>
  <c r="K82"/>
  <c r="K86"/>
  <c r="K90"/>
  <c r="H121"/>
  <c r="L97"/>
  <c r="N97" s="1"/>
  <c r="L101"/>
  <c r="N101" s="1"/>
  <c r="L105"/>
  <c r="N105" s="1"/>
  <c r="L109"/>
  <c r="N109" s="1"/>
  <c r="L113"/>
  <c r="N113" s="1"/>
  <c r="L117"/>
  <c r="N117" s="1"/>
  <c r="H92"/>
  <c r="K81"/>
  <c r="K83"/>
  <c r="K85"/>
  <c r="K87"/>
  <c r="K89"/>
  <c r="K91"/>
  <c r="K125"/>
  <c r="L94"/>
  <c r="N94" s="1"/>
  <c r="L96"/>
  <c r="N96" s="1"/>
  <c r="L98"/>
  <c r="N98" s="1"/>
  <c r="L100"/>
  <c r="N100" s="1"/>
  <c r="L102"/>
  <c r="N102" s="1"/>
  <c r="L104"/>
  <c r="N104" s="1"/>
  <c r="L106"/>
  <c r="N106" s="1"/>
  <c r="L108"/>
  <c r="N108" s="1"/>
  <c r="L110"/>
  <c r="N110" s="1"/>
  <c r="L112"/>
  <c r="N112" s="1"/>
  <c r="L114"/>
  <c r="N114" s="1"/>
  <c r="L116"/>
  <c r="N116" s="1"/>
  <c r="L118"/>
  <c r="N118" s="1"/>
  <c r="L120"/>
  <c r="N120" s="1"/>
  <c r="L122"/>
  <c r="N122" s="1"/>
  <c r="L124"/>
  <c r="N124" s="1"/>
  <c r="L126"/>
  <c r="N126" s="1"/>
  <c r="L30"/>
  <c r="N30" s="1"/>
  <c r="L66"/>
  <c r="N66" s="1"/>
  <c r="L33"/>
  <c r="N33" s="1"/>
  <c r="L28"/>
  <c r="N28" s="1"/>
  <c r="K36" i="4"/>
  <c r="G26" i="1"/>
  <c r="G21" s="1"/>
  <c r="G18" s="1"/>
  <c r="F120"/>
  <c r="G135"/>
  <c r="I90"/>
  <c r="E87"/>
  <c r="E101" s="1"/>
  <c r="D21"/>
  <c r="D18" s="1"/>
  <c r="F21"/>
  <c r="F18" s="1"/>
  <c r="F42"/>
  <c r="F38" s="1"/>
  <c r="F37" s="1"/>
  <c r="H167"/>
  <c r="H42" s="1"/>
  <c r="G42"/>
  <c r="G38" s="1"/>
  <c r="G37" s="1"/>
  <c r="D38"/>
  <c r="D37" s="1"/>
  <c r="E21"/>
  <c r="E18" s="1"/>
  <c r="E44" s="1"/>
  <c r="E140"/>
  <c r="E137" s="1"/>
  <c r="G140"/>
  <c r="G137" s="1"/>
  <c r="G154" s="1"/>
  <c r="D156"/>
  <c r="I156"/>
  <c r="I157"/>
  <c r="H166"/>
  <c r="F140"/>
  <c r="F137" s="1"/>
  <c r="I166"/>
  <c r="I167"/>
  <c r="I42" s="1"/>
  <c r="I161"/>
  <c r="H161"/>
  <c r="I137"/>
  <c r="E106"/>
  <c r="E103" s="1"/>
  <c r="I103" s="1"/>
  <c r="F154"/>
  <c r="D140"/>
  <c r="E122"/>
  <c r="E135" s="1"/>
  <c r="I135" s="1"/>
  <c r="I125"/>
  <c r="I117"/>
  <c r="D106"/>
  <c r="H106" s="1"/>
  <c r="H110"/>
  <c r="I118"/>
  <c r="E154"/>
  <c r="I151"/>
  <c r="F132"/>
  <c r="H132" s="1"/>
  <c r="H94"/>
  <c r="I110"/>
  <c r="H118"/>
  <c r="F101"/>
  <c r="H98"/>
  <c r="G101"/>
  <c r="I98"/>
  <c r="I101"/>
  <c r="I99"/>
  <c r="D135"/>
  <c r="H122"/>
  <c r="H125"/>
  <c r="I122"/>
  <c r="I106"/>
  <c r="H90"/>
  <c r="D87"/>
  <c r="H99"/>
  <c r="I87"/>
  <c r="G44" l="1"/>
  <c r="D103"/>
  <c r="I154"/>
  <c r="E120"/>
  <c r="I120" s="1"/>
  <c r="I140"/>
  <c r="F44"/>
  <c r="H87"/>
  <c r="D101"/>
  <c r="D44"/>
  <c r="H156"/>
  <c r="D159"/>
  <c r="H159" s="1"/>
  <c r="F135"/>
  <c r="H140"/>
  <c r="D137"/>
  <c r="H135"/>
  <c r="D120"/>
  <c r="H120" s="1"/>
  <c r="H103"/>
  <c r="H101"/>
  <c r="E82"/>
  <c r="I82" s="1"/>
  <c r="I79"/>
  <c r="H79"/>
  <c r="G79"/>
  <c r="G75" s="1"/>
  <c r="G72" s="1"/>
  <c r="G85" s="1"/>
  <c r="F79"/>
  <c r="F75" s="1"/>
  <c r="F72" s="1"/>
  <c r="F85" s="1"/>
  <c r="E79"/>
  <c r="D82"/>
  <c r="H82" s="1"/>
  <c r="I69"/>
  <c r="I41" s="1"/>
  <c r="I40" s="1"/>
  <c r="H69"/>
  <c r="H41" s="1"/>
  <c r="H40" s="1"/>
  <c r="I67"/>
  <c r="I39" s="1"/>
  <c r="I38" s="1"/>
  <c r="I37" s="1"/>
  <c r="H67"/>
  <c r="H39" s="1"/>
  <c r="H38" s="1"/>
  <c r="H37" s="1"/>
  <c r="I64"/>
  <c r="I36" s="1"/>
  <c r="H64"/>
  <c r="H36" s="1"/>
  <c r="I63"/>
  <c r="I35" s="1"/>
  <c r="I34" s="1"/>
  <c r="H63"/>
  <c r="H35" s="1"/>
  <c r="H34" s="1"/>
  <c r="I62"/>
  <c r="I61"/>
  <c r="I33" s="1"/>
  <c r="I32" s="1"/>
  <c r="H61"/>
  <c r="H33" s="1"/>
  <c r="H32" s="1"/>
  <c r="I59"/>
  <c r="I31" s="1"/>
  <c r="H59"/>
  <c r="H31" s="1"/>
  <c r="I58"/>
  <c r="I30" s="1"/>
  <c r="H58"/>
  <c r="H30" s="1"/>
  <c r="I57"/>
  <c r="I29" s="1"/>
  <c r="H57"/>
  <c r="H29" s="1"/>
  <c r="I56"/>
  <c r="I28" s="1"/>
  <c r="H56"/>
  <c r="H28" s="1"/>
  <c r="I55"/>
  <c r="I27" s="1"/>
  <c r="I26" s="1"/>
  <c r="H55"/>
  <c r="H27" s="1"/>
  <c r="H26" s="1"/>
  <c r="I53"/>
  <c r="I25" s="1"/>
  <c r="H53"/>
  <c r="H25" s="1"/>
  <c r="I52"/>
  <c r="I24" s="1"/>
  <c r="H52"/>
  <c r="H24" s="1"/>
  <c r="I51"/>
  <c r="I23" s="1"/>
  <c r="H51"/>
  <c r="H23" s="1"/>
  <c r="I50"/>
  <c r="I22" s="1"/>
  <c r="I21" s="1"/>
  <c r="H50"/>
  <c r="H22" s="1"/>
  <c r="I48"/>
  <c r="I20" s="1"/>
  <c r="H48"/>
  <c r="H20" s="1"/>
  <c r="I47"/>
  <c r="I19" s="1"/>
  <c r="H47"/>
  <c r="H19" s="1"/>
  <c r="G68"/>
  <c r="G54"/>
  <c r="G49" s="1"/>
  <c r="G46" s="1"/>
  <c r="E60"/>
  <c r="I60" s="1"/>
  <c r="E54"/>
  <c r="F68"/>
  <c r="F66" s="1"/>
  <c r="F54"/>
  <c r="F49" s="1"/>
  <c r="F46" s="1"/>
  <c r="E49"/>
  <c r="E46" s="1"/>
  <c r="E70" s="1"/>
  <c r="D62"/>
  <c r="H62" s="1"/>
  <c r="D60"/>
  <c r="H60" s="1"/>
  <c r="D54"/>
  <c r="H54" s="1"/>
  <c r="I68" l="1"/>
  <c r="G66"/>
  <c r="I18"/>
  <c r="I44" s="1"/>
  <c r="H21"/>
  <c r="H18" s="1"/>
  <c r="H44" s="1"/>
  <c r="D154"/>
  <c r="H154" s="1"/>
  <c r="H137"/>
  <c r="I75"/>
  <c r="I72" s="1"/>
  <c r="E75"/>
  <c r="E72" s="1"/>
  <c r="E85" s="1"/>
  <c r="E170" s="1"/>
  <c r="H75"/>
  <c r="H72" s="1"/>
  <c r="I85"/>
  <c r="F65"/>
  <c r="H65" s="1"/>
  <c r="I46"/>
  <c r="I54"/>
  <c r="G65"/>
  <c r="I65" s="1"/>
  <c r="D75"/>
  <c r="D72" s="1"/>
  <c r="D85" s="1"/>
  <c r="H85" s="1"/>
  <c r="D49"/>
  <c r="I49"/>
  <c r="I66"/>
  <c r="H66"/>
  <c r="H68"/>
  <c r="F70" l="1"/>
  <c r="F170" s="1"/>
  <c r="G70"/>
  <c r="D46"/>
  <c r="H49"/>
  <c r="I70" l="1"/>
  <c r="I170" s="1"/>
  <c r="G170"/>
  <c r="H46"/>
  <c r="D70"/>
  <c r="H70" l="1"/>
  <c r="H170" s="1"/>
  <c r="D170"/>
</calcChain>
</file>

<file path=xl/sharedStrings.xml><?xml version="1.0" encoding="utf-8"?>
<sst xmlns="http://schemas.openxmlformats.org/spreadsheetml/2006/main" count="930" uniqueCount="252">
  <si>
    <t xml:space="preserve">                                      ЗАТВЕРДЖЕНО</t>
  </si>
  <si>
    <t xml:space="preserve">                                      Наказ Міністерства</t>
  </si>
  <si>
    <t xml:space="preserve">                                      фінансів України</t>
  </si>
  <si>
    <t xml:space="preserve">                                      01.12.2010  N 1489</t>
  </si>
  <si>
    <t xml:space="preserve"> </t>
  </si>
  <si>
    <t xml:space="preserve">                            ІНФОРМАЦІЯ</t>
  </si>
  <si>
    <t xml:space="preserve"> видатків та кредитування бюджету)</t>
  </si>
  <si>
    <t>Відділ освіти Олександрійської районної державної адміністрації Кіровоградської області</t>
  </si>
  <si>
    <t xml:space="preserve">                       </t>
  </si>
  <si>
    <t xml:space="preserve">                  </t>
  </si>
  <si>
    <t xml:space="preserve">                 ІНФОРМАЦІЯ</t>
  </si>
  <si>
    <t xml:space="preserve">         </t>
  </si>
  <si>
    <t xml:space="preserve">                                  (найменування головного розпорядника коштів державного бюджету)</t>
  </si>
  <si>
    <r>
      <t xml:space="preserve">                       </t>
    </r>
    <r>
      <rPr>
        <u/>
        <sz val="12"/>
        <color theme="1"/>
        <rFont val="Times New Roman"/>
        <family val="1"/>
        <charset val="204"/>
      </rPr>
      <t xml:space="preserve"> </t>
    </r>
  </si>
  <si>
    <t xml:space="preserve">  за  2017  рік</t>
  </si>
  <si>
    <t xml:space="preserve">                                   </t>
  </si>
  <si>
    <t xml:space="preserve">                                      </t>
  </si>
  <si>
    <t>Наказ Міністерства</t>
  </si>
  <si>
    <t>фінансів України</t>
  </si>
  <si>
    <t xml:space="preserve">                                     </t>
  </si>
  <si>
    <t xml:space="preserve"> 01.12.2010  N 1489</t>
  </si>
  <si>
    <t xml:space="preserve">    Код програмної класифікації видатків та кредитування бюджету / код  економічної  класифікації  видатків  бюджету або код  кредитування бюджету                                                          </t>
  </si>
  <si>
    <t xml:space="preserve"> Код  функціональної  класифікації  видатків  та   кредитування  бюджету                                                                                    </t>
  </si>
  <si>
    <t xml:space="preserve">Найменування згідно з програмною  класифікацією  видатків та кредитування бюджету            </t>
  </si>
  <si>
    <t>план на 2017 рік з урахуванням внесених змін</t>
  </si>
  <si>
    <t>касове виконання за 2017 рік</t>
  </si>
  <si>
    <t xml:space="preserve"> Спеціальний фонд  </t>
  </si>
  <si>
    <t xml:space="preserve"> Разом       </t>
  </si>
  <si>
    <t>Разом</t>
  </si>
  <si>
    <t>Надання загальної середньої освіти загальноосвітніми навчальними закладами (в т.ч. школою дитячим-садком, інтернатом при школі), спеціалізованими школами, ліцеями, гімназіями, колегіумами</t>
  </si>
  <si>
    <t xml:space="preserve">                             Загальний фонд                                </t>
  </si>
  <si>
    <t>0960</t>
  </si>
  <si>
    <t>Надання позашкільної освіти позашкільними закладами освіти, заходи із позашкільної роботи з дітьми</t>
  </si>
  <si>
    <t>0990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</si>
  <si>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</si>
  <si>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</si>
  <si>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Здійснення централізованого господарського обслуговування</t>
  </si>
  <si>
    <t>Утримання інших закладів освіти</t>
  </si>
  <si>
    <t>Надання допомоги дітям-сиротам та дітям, позбавленим батьківського піклування, яким виповнюється 18 років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</si>
  <si>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</si>
  <si>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</si>
  <si>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</si>
  <si>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</si>
  <si>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 xml:space="preserve">                                                                               </t>
  </si>
  <si>
    <t xml:space="preserve"> (підпис)    (ініціали і прізвище)</t>
  </si>
  <si>
    <t>І.Должкова</t>
  </si>
  <si>
    <t>Всього</t>
  </si>
  <si>
    <t xml:space="preserve">               про бюджет за бюджетними програмами з деталізацією за кодами економічної класифікації видатків бюджету  або класифікації кредитування бюджету</t>
  </si>
  <si>
    <t xml:space="preserve">                                                                                            </t>
  </si>
  <si>
    <t xml:space="preserve"> (тис. грн.)</t>
  </si>
  <si>
    <t>ЗАТВЕРДЖЕНО</t>
  </si>
  <si>
    <t xml:space="preserve">          </t>
  </si>
  <si>
    <t xml:space="preserve">             про виконання результативних показників, що характеризують виконання бюджетної програми</t>
  </si>
  <si>
    <t xml:space="preserve">                           </t>
  </si>
  <si>
    <t xml:space="preserve">                    </t>
  </si>
  <si>
    <t xml:space="preserve">               (найменування головного розпорядника коштів державного бюджету)</t>
  </si>
  <si>
    <t xml:space="preserve">   (код програмної класифікації                             (назва бюджетної програми)</t>
  </si>
  <si>
    <t xml:space="preserve">                        </t>
  </si>
  <si>
    <t xml:space="preserve">  Відділ освіти Олександрійської районної державної адміністрації Кіровоградської області</t>
  </si>
  <si>
    <t>№ з/п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</si>
  <si>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</si>
  <si>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</si>
  <si>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</si>
  <si>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</si>
  <si>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</si>
  <si>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Виконано за звітний період</t>
  </si>
  <si>
    <t>Відхилекння</t>
  </si>
  <si>
    <t>Забезпечити надання відповідних послуг денними загальноосвітніми навчальними закладами</t>
  </si>
  <si>
    <t>Показники затрат:</t>
  </si>
  <si>
    <t>кількість закладів (за ступенями шкіл)</t>
  </si>
  <si>
    <t>одиниць</t>
  </si>
  <si>
    <t>Звіт   Форма -3</t>
  </si>
  <si>
    <t>І ступеню</t>
  </si>
  <si>
    <t>І-ІІ ступенів</t>
  </si>
  <si>
    <t>І-ІІІ ступенів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</si>
  <si>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</si>
  <si>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</si>
  <si>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</si>
  <si>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</si>
  <si>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</si>
  <si>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</si>
  <si>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</si>
  <si>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Показники продукту:</t>
  </si>
  <si>
    <t>Середньорічна кількість учнів</t>
  </si>
  <si>
    <t>діто-дні відвідування</t>
  </si>
  <si>
    <t>осіб</t>
  </si>
  <si>
    <t xml:space="preserve">розрахунковий показник                                       ( к-ть учнів на початок року х 8 + к-ть учнів на 01.09.17 р. х 4) / 12 міс.      (Звіт 76-РВК) </t>
  </si>
  <si>
    <t>дні</t>
  </si>
  <si>
    <t>журнал обліку відвідування</t>
  </si>
  <si>
    <t>Показники якості:</t>
  </si>
  <si>
    <t>кількість днів відвідування</t>
  </si>
  <si>
    <t>розрахунковий показник:   к-ть діто-днів/ к-ть учнів</t>
  </si>
  <si>
    <t>Надання рівних можливостей дівчатам і хлопцям в сфері отримання позашкільної освіти</t>
  </si>
  <si>
    <t>кількість закладів (за напрямами діяльності гуртків та місцем розташування)</t>
  </si>
  <si>
    <t>Звіт І-ПЗ (освіта)</t>
  </si>
  <si>
    <t>всього - середньорічне число ставок/штатних одиниць</t>
  </si>
  <si>
    <t>педагогічного персоналу</t>
  </si>
  <si>
    <t xml:space="preserve">адмінтерсонал , за умовами оплати віднесених до педагогічного персоналу </t>
  </si>
  <si>
    <t>спеціалістів</t>
  </si>
  <si>
    <t xml:space="preserve"> робітників</t>
  </si>
  <si>
    <t>середньорічна кількість дітей (хлопців/дівчат), які отримують позашкільну освіту,</t>
  </si>
  <si>
    <t xml:space="preserve">осіб        хлопці/  дівчата               </t>
  </si>
  <si>
    <t xml:space="preserve">розрахунковий показник                             ( к-ть учнів на початок року  х 8 + к-ть учнів на 01.09.17 р.  х 4) / 12 міс.    Звіт І-ПЗ (освіта)) </t>
  </si>
  <si>
    <t>у т.ч. за напрямами діяльності гуртків</t>
  </si>
  <si>
    <t>науково-технічним</t>
  </si>
  <si>
    <t xml:space="preserve">розрахунковий показник                             ( к-ть учнів на початок року  х 8 + к-ть учнів на 01.09.17 р.  х 4) / 12 міс.      хлопці /дівчата Звіт І-ПЗ (освіта)) </t>
  </si>
  <si>
    <t>еколого - натуралістичним</t>
  </si>
  <si>
    <t>туристсько - краєзнавчим</t>
  </si>
  <si>
    <t>фізкультурно-спортивним або спортивним</t>
  </si>
  <si>
    <t>художньо-естетичним</t>
  </si>
  <si>
    <t>дослідницько-експериментальним</t>
  </si>
  <si>
    <t xml:space="preserve"> військово-патріотичним</t>
  </si>
  <si>
    <t>військово-патріотичним</t>
  </si>
  <si>
    <t>соціально-реабілітаційним</t>
  </si>
  <si>
    <t>гуманітарним</t>
  </si>
  <si>
    <t>бібліотечно-бібліографічний</t>
  </si>
  <si>
    <t xml:space="preserve">кількість гуртків за напрямами діяльності </t>
  </si>
  <si>
    <t xml:space="preserve"> дослідницько-експериментальним</t>
  </si>
  <si>
    <t>кількість заходів з позашкільної роботи</t>
  </si>
  <si>
    <t>кількість дітей (хлопців/дівчат), залучених у заходах</t>
  </si>
  <si>
    <t>Показники ефективності:</t>
  </si>
  <si>
    <t>середні витрати на 1 дитину (хлопця/дівчину), ут.ч.</t>
  </si>
  <si>
    <t>Середні випрати на 1 захід позашкільної роботи</t>
  </si>
  <si>
    <t>грн.</t>
  </si>
  <si>
    <t xml:space="preserve">розрахунковий показник: видатки/к-ть дітей </t>
  </si>
  <si>
    <t xml:space="preserve">розрахунковий показник: видатки на 1 гурток *к-ть гуртків/к-ть дітей в гуртку             </t>
  </si>
  <si>
    <t xml:space="preserve">розрахунковий показник: видатки на 1 гурток *к-ть гуртків/к-ть дітей в гуртку   </t>
  </si>
  <si>
    <t xml:space="preserve">розрахунковий показник: видатки на 1 гурток *к-ть гуртків/к-ть дітей в гуртку     </t>
  </si>
  <si>
    <t xml:space="preserve">розрахунковий показник: видатки на 1 гурток *к-ть гуртків/к-ть дітей в гуртку    </t>
  </si>
  <si>
    <t xml:space="preserve">розрахунковий показник: видатки на 1 гурток *к-ть гуртків/к-ть дітей в гуртку      </t>
  </si>
  <si>
    <t xml:space="preserve">розрахунковий показник:    видатки /к-ть заходів   </t>
  </si>
  <si>
    <t>відсоток дітей (хлопців/дівчат), охоплених позашкільною освітою, за напрямами діяльності гуртків</t>
  </si>
  <si>
    <t xml:space="preserve"> гуманітарним</t>
  </si>
  <si>
    <t>відсоток дітей (хлопців/дівчат), які отримали нагороди за напрямами діяльності гуртків</t>
  </si>
  <si>
    <t>%</t>
  </si>
  <si>
    <t>розрахунковий показник: к-ть дітей, які отримують позашкільну освіту/загальна к-ть дітей         (хлопця/дівчину)</t>
  </si>
  <si>
    <t>розрахунковий показник: к-ть дітей, які отримують позашкільну освіту/загальна к-ть дітей   (хлопця/дівчину)</t>
  </si>
  <si>
    <t>розрахунковий показник: к-ть дітей, які отримали нагороди/к-ть дітей, охоплених позашкільною освітою</t>
  </si>
  <si>
    <t>розрахунковий показник: к-ть дітей, які отримують позашкільну освіту/загальна к-ть дітей  (хлопця/дівчину)</t>
  </si>
  <si>
    <t>Забезпечити якісну медико-психологічну консультацію учнів</t>
  </si>
  <si>
    <t>кількість дітей, які отримали консультацію</t>
  </si>
  <si>
    <t>журнал реестрації</t>
  </si>
  <si>
    <t>витрати на одну дитину</t>
  </si>
  <si>
    <t>розрахунковий показник:  видатки/ к-ть дітей</t>
  </si>
  <si>
    <t>Забезпечити належну методичну роботу в установах освіти</t>
  </si>
  <si>
    <t xml:space="preserve">кількість закладів </t>
  </si>
  <si>
    <t>Звіт Форма -3</t>
  </si>
  <si>
    <t>проведення семінарів, засідань методичних формувань, конкурсів, навчань, тематичних вивчень, консультацій</t>
  </si>
  <si>
    <t>видатки на проведення одного заходу</t>
  </si>
  <si>
    <t xml:space="preserve">розрахунковий показник: видатки/к-ть заходів </t>
  </si>
  <si>
    <t>динаміка кількості заходів до попереднього року</t>
  </si>
  <si>
    <t>розрахунковий показник: к-ть заходів/к-ть заходів попереднього року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</si>
  <si>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</si>
  <si>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</si>
  <si>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</si>
  <si>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</si>
  <si>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</si>
  <si>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рахунків бухгалтерського обліку, платіжних та інших облікових паперів</t>
  </si>
  <si>
    <t>кількість установ, які обслуговує один працівник</t>
  </si>
  <si>
    <t xml:space="preserve">розрахунковий показник:                              к-ть установ / к-ть працівників </t>
  </si>
  <si>
    <t>кількість особових рахунків, які обслуговує один працівник (відділ заробітної плати - 4 чол.)</t>
  </si>
  <si>
    <t>розрахунковий показник:           к-ть особових рахунків / к-ть працівників  (4)</t>
  </si>
  <si>
    <t xml:space="preserve">кількість рахунків бухгалтерського обліку, платіжних та інших облікових паперів,  які обслуговує один працівник </t>
  </si>
  <si>
    <t>Забезпечити надання якісних послуг з централізованого господарського обслуговування</t>
  </si>
  <si>
    <t>кількість груп централізованого господарського обслуговування</t>
  </si>
  <si>
    <t>кількість установ, які обслуговуються групами централізованого господарського обслуговування</t>
  </si>
  <si>
    <t>кількість договорів, звітів та інших облікових паперів</t>
  </si>
  <si>
    <t>кількість установ, які обслуговує один працівник (10 осіб)</t>
  </si>
  <si>
    <t>розрахунковий показник:                              к-ть установ / к-ть працівників (10)</t>
  </si>
  <si>
    <t>кількість договорів, звітів, та інших облікових паперів, які обслуговує один працівник (8 чол.)</t>
  </si>
  <si>
    <t>розрахунковий показник:           к-ть особових рахунків / к-ть працівників  (8)</t>
  </si>
  <si>
    <t>Забезпечити проведення первинної професійної орієнтації учнів у навчально-виробничих комбінатах</t>
  </si>
  <si>
    <t>кількість навчальних закладів</t>
  </si>
  <si>
    <t>середньорічна кількість учнів</t>
  </si>
  <si>
    <t xml:space="preserve">розрахунковий показник     ( к-ть учнів на початок року  103 х 8 + к-ть учнів на 01.09.17 р. 158 х 4) / 12 міс.  </t>
  </si>
  <si>
    <t>витрати на одного учня</t>
  </si>
  <si>
    <t>тис. грн.</t>
  </si>
  <si>
    <t xml:space="preserve">розрахунковий показник:                             розрахунковий показник:           видатки / к-ть учнів 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</si>
  <si>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</si>
  <si>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</si>
  <si>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журнал обліку</t>
  </si>
  <si>
    <t>середній розмір допомоги</t>
  </si>
  <si>
    <t xml:space="preserve">розрахунковий показник:                              видатки / к-ть учнів </t>
  </si>
  <si>
    <t>Організація оздоровлення та забезпечення відпочинку дітей, які потребують особливої соціальної уваги та підтримки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</si>
  <si>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</si>
  <si>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</si>
  <si>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</si>
  <si>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 xml:space="preserve">середня вартість однієї путівки на оздоровлення </t>
  </si>
  <si>
    <t>розрахунковий показник:  витрати на оздоровлення/к-ть дітей</t>
  </si>
  <si>
    <t>розрахунковий показник:  витрати на оздоровлення/  к-ть путівок</t>
  </si>
  <si>
    <t>динаміка:    кількість дітей, охоплених заходами з оздоровлення, порівняно з минулим роком</t>
  </si>
  <si>
    <t>питома вага дітей, охоплених оздоровленням, у загальній кількості дітей у регіоні</t>
  </si>
  <si>
    <t>розрахунковий показник: к-ть дітей пточного року/к-ть дітей минулого року*100-100</t>
  </si>
  <si>
    <t>розрахунковий показник: к-ть оздоровлених дітей/к-ть дітей у регіоні*100</t>
  </si>
  <si>
    <t>Забезпечення реконструкції об"єктів</t>
  </si>
  <si>
    <t>обсяг видатків на реконструкцію обєктів</t>
  </si>
  <si>
    <t>обсяг  реконструкції обєктів</t>
  </si>
  <si>
    <t>проектно-кошторисна документація</t>
  </si>
  <si>
    <t>кв.м</t>
  </si>
  <si>
    <t xml:space="preserve">кількість обєктів, які планується реконструювати </t>
  </si>
  <si>
    <t>середні витрати на реконструкцію одного об"єкту</t>
  </si>
  <si>
    <t>середні витрати на 1 км (кв.м.) реконструкції об"єкта</t>
  </si>
  <si>
    <t xml:space="preserve">розрахунковий показник  (обсяг видатків на реконструкцію / к-ть об"єктів)  </t>
  </si>
  <si>
    <t xml:space="preserve">розрахунковий показник  (обсяг видатків на реконсирукцію </t>
  </si>
  <si>
    <t>рівень готовності об"єктів реконструкції</t>
  </si>
  <si>
    <t>динаміка кількості об"єктів реконструкції порівняно з попереднім роком</t>
  </si>
  <si>
    <t>динаміка обсягу реконструкції порівняно з попереднім роком</t>
  </si>
  <si>
    <t xml:space="preserve">розрахунковий показник:    обсяг видатків /вартість реконструкції  (5366,162)*100    </t>
  </si>
  <si>
    <t xml:space="preserve">розрахунковий показник        (к-ть об"єктів планового року  - к-ть об"єктів минулого року /к-ть об"єктів минулого року)*100                           </t>
  </si>
  <si>
    <t xml:space="preserve">розрахунковий показник:             (обсяг видатків планового року/обсяг видатків минулого року *100 )      </t>
  </si>
  <si>
    <t>Проектування реконструкції об"єктів</t>
  </si>
  <si>
    <t>обсяг видатків на проектування реконструкції об"єктів</t>
  </si>
  <si>
    <t>кількість проектів для реконструкції об"єктів</t>
  </si>
  <si>
    <t>середні витрати на розробку одного проекту для реконструкції об"єкту</t>
  </si>
  <si>
    <t>розрахунковий показник  (обсяг видатків на реконструкцію / к-ть проектів)</t>
  </si>
  <si>
    <t>рівень готовності проектної документації реконструкції об"єктів</t>
  </si>
  <si>
    <t>розрахунковий показник  (обсяг касових видатків/обсяг видатків на реконструкцію)*       100</t>
  </si>
  <si>
    <t xml:space="preserve">                          </t>
  </si>
  <si>
    <t xml:space="preserve">  ІНФОРМАЦІЯ</t>
  </si>
  <si>
    <t xml:space="preserve">             </t>
  </si>
  <si>
    <t xml:space="preserve">  про виконання видатків на реалізацію  державних цільових програм, які виконуються   в межах бюджетної програми</t>
  </si>
  <si>
    <t xml:space="preserve">Код  державної цільової програми </t>
  </si>
  <si>
    <t xml:space="preserve"> Код  програмної класифікації видатків та кредитування  бюджету </t>
  </si>
  <si>
    <t xml:space="preserve">Найменування  згідно з  програмною класифікацією видатків та кредитування  бюджету </t>
  </si>
  <si>
    <t>Затверджено паспортом бюджетної програми на звітний період</t>
  </si>
  <si>
    <t>Затверджено паспортом бюджетної програми на звітний  період</t>
  </si>
  <si>
    <t>Затверджено на звітний період</t>
  </si>
  <si>
    <t>Програма економічного і соціального розвитку Олександрійського району на 2017 рік</t>
  </si>
  <si>
    <t>Районна комплексна соціальна програма оздоровлення та відпочинку дітей Олександрійського району на 2014-2017 роки</t>
  </si>
  <si>
    <t>Розвиток освіти в Олександрійському районі на 2016-2020 роки</t>
  </si>
  <si>
    <t xml:space="preserve"> Назва регіональної цільової програми </t>
  </si>
  <si>
    <r>
      <t xml:space="preserve"> </t>
    </r>
    <r>
      <rPr>
        <u/>
        <sz val="12"/>
        <color theme="1"/>
        <rFont val="Times New Roman"/>
        <family val="1"/>
        <charset val="204"/>
      </rPr>
      <t xml:space="preserve"> Відділ освіти Олександрійської районної державної адміністрації Кіровоградської області</t>
    </r>
  </si>
  <si>
    <r>
      <t xml:space="preserve">  </t>
    </r>
    <r>
      <rPr>
        <u/>
        <sz val="12"/>
        <color theme="1"/>
        <rFont val="Times New Roman"/>
        <family val="1"/>
        <charset val="204"/>
      </rPr>
      <t>за  2017  рік</t>
    </r>
  </si>
  <si>
    <t>№156 від 23.12.2016 р.</t>
  </si>
  <si>
    <t xml:space="preserve">                                                                                   </t>
  </si>
  <si>
    <t>№367 від 23.04.2014 р.</t>
  </si>
  <si>
    <t>№20 від 23.12.2015 р.</t>
  </si>
  <si>
    <t xml:space="preserve">                </t>
  </si>
  <si>
    <t xml:space="preserve"> ІНФОРМАЦІЯ</t>
  </si>
  <si>
    <t xml:space="preserve">           </t>
  </si>
  <si>
    <t xml:space="preserve">            </t>
  </si>
  <si>
    <t xml:space="preserve">   про виконання видатків на реалізацію інвестиційних програм (проектів),  які виконуються в межах бюджетної програми</t>
  </si>
  <si>
    <t xml:space="preserve"> Назва інвестиційної програми </t>
  </si>
  <si>
    <t>Головний бухгалтер</t>
  </si>
  <si>
    <r>
      <t xml:space="preserve"> </t>
    </r>
    <r>
      <rPr>
        <u/>
        <sz val="12"/>
        <color theme="1"/>
        <rFont val="Times New Roman"/>
        <family val="1"/>
        <charset val="204"/>
      </rPr>
      <t xml:space="preserve"> за  2017  рік</t>
    </r>
  </si>
  <si>
    <t xml:space="preserve">                                                                              </t>
  </si>
  <si>
    <t xml:space="preserve">  (тис. грн.)</t>
  </si>
  <si>
    <t xml:space="preserve">   (код програмної класифікації                                                                           (назва бюджетної програми)</t>
  </si>
  <si>
    <t xml:space="preserve">   (код програмної класифікації                                     (назва бюджетної програми)</t>
  </si>
  <si>
    <t xml:space="preserve">   (код програмної класифікації                                            (назва бюджетної програми)</t>
  </si>
  <si>
    <t xml:space="preserve">               </t>
  </si>
  <si>
    <t>(найменування головного розпорядника коштів державного бюджету)</t>
  </si>
</sst>
</file>

<file path=xl/styles.xml><?xml version="1.0" encoding="utf-8"?>
<styleSheet xmlns="http://schemas.openxmlformats.org/spreadsheetml/2006/main">
  <numFmts count="2">
    <numFmt numFmtId="164" formatCode="0.0"/>
    <numFmt numFmtId="167" formatCode="0.00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164" fontId="4" fillId="0" borderId="2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64" fontId="10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4" fillId="0" borderId="3" xfId="0" applyFont="1" applyBorder="1"/>
    <xf numFmtId="164" fontId="10" fillId="0" borderId="3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4" fontId="13" fillId="0" borderId="2" xfId="0" applyNumberFormat="1" applyFont="1" applyBorder="1"/>
    <xf numFmtId="0" fontId="5" fillId="2" borderId="0" xfId="0" applyFont="1" applyFill="1"/>
    <xf numFmtId="0" fontId="10" fillId="2" borderId="2" xfId="0" applyFont="1" applyFill="1" applyBorder="1"/>
    <xf numFmtId="164" fontId="10" fillId="2" borderId="2" xfId="0" applyNumberFormat="1" applyFont="1" applyFill="1" applyBorder="1"/>
    <xf numFmtId="164" fontId="13" fillId="2" borderId="2" xfId="0" applyNumberFormat="1" applyFont="1" applyFill="1" applyBorder="1"/>
    <xf numFmtId="164" fontId="10" fillId="2" borderId="3" xfId="0" applyNumberFormat="1" applyFont="1" applyFill="1" applyBorder="1"/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/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4" fillId="0" borderId="11" xfId="0" applyFont="1" applyBorder="1"/>
    <xf numFmtId="0" fontId="4" fillId="0" borderId="12" xfId="0" applyFont="1" applyBorder="1"/>
    <xf numFmtId="0" fontId="6" fillId="0" borderId="0" xfId="0" applyFont="1" applyAlignment="1">
      <alignment horizont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NumberFormat="1" applyBorder="1"/>
    <xf numFmtId="0" fontId="1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14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2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left" vertical="center" wrapText="1"/>
    </xf>
    <xf numFmtId="1" fontId="14" fillId="0" borderId="2" xfId="0" applyNumberFormat="1" applyFont="1" applyBorder="1" applyAlignment="1">
      <alignment vertical="center" wrapText="1"/>
    </xf>
    <xf numFmtId="0" fontId="0" fillId="0" borderId="0" xfId="0" applyFont="1"/>
    <xf numFmtId="0" fontId="14" fillId="0" borderId="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167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2" xfId="0" applyFont="1" applyBorder="1"/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44"/>
  <sheetViews>
    <sheetView tabSelected="1" topLeftCell="A10" workbookViewId="0">
      <selection activeCell="K17" sqref="K17"/>
    </sheetView>
  </sheetViews>
  <sheetFormatPr defaultRowHeight="15"/>
  <cols>
    <col min="1" max="1" width="12.5" customWidth="1"/>
    <col min="2" max="2" width="22.25" customWidth="1"/>
    <col min="3" max="3" width="23.5" customWidth="1"/>
    <col min="4" max="9" width="9.625" customWidth="1"/>
  </cols>
  <sheetData>
    <row r="2" spans="1:12" ht="15.75">
      <c r="A2" s="2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B3" s="2"/>
      <c r="C3" s="2"/>
      <c r="D3" s="2"/>
      <c r="E3" s="2"/>
      <c r="F3" s="2" t="s">
        <v>0</v>
      </c>
      <c r="G3" s="2"/>
      <c r="H3" s="2"/>
      <c r="I3" s="2"/>
      <c r="J3" s="2"/>
      <c r="K3" s="2"/>
      <c r="L3" s="2"/>
    </row>
    <row r="4" spans="1:12" ht="15.75">
      <c r="B4" s="2"/>
      <c r="C4" s="2"/>
      <c r="D4" s="2"/>
      <c r="E4" s="2"/>
      <c r="F4" s="2" t="s">
        <v>1</v>
      </c>
      <c r="G4" s="2"/>
      <c r="H4" s="2"/>
      <c r="I4" s="2"/>
      <c r="J4" s="2"/>
      <c r="K4" s="2"/>
      <c r="L4" s="2"/>
    </row>
    <row r="5" spans="1:12" ht="15.75">
      <c r="B5" s="2"/>
      <c r="C5" s="2"/>
      <c r="D5" s="2"/>
      <c r="E5" s="2"/>
      <c r="F5" s="2" t="s">
        <v>2</v>
      </c>
      <c r="G5" s="2"/>
      <c r="H5" s="2"/>
      <c r="I5" s="2"/>
      <c r="J5" s="2"/>
      <c r="K5" s="2"/>
      <c r="L5" s="2"/>
    </row>
    <row r="6" spans="1:12" ht="15.75">
      <c r="B6" s="2"/>
      <c r="C6" s="2"/>
      <c r="D6" s="2"/>
      <c r="E6" s="2"/>
      <c r="F6" s="2" t="s">
        <v>3</v>
      </c>
      <c r="G6" s="2"/>
      <c r="H6" s="2"/>
      <c r="I6" s="2"/>
      <c r="J6" s="2"/>
      <c r="K6" s="2"/>
      <c r="L6" s="2"/>
    </row>
    <row r="7" spans="1:12" ht="15.75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3" t="s">
        <v>53</v>
      </c>
      <c r="B9" s="175" t="s">
        <v>238</v>
      </c>
      <c r="C9" s="175"/>
      <c r="D9" s="175"/>
      <c r="E9" s="175"/>
      <c r="F9" s="2"/>
      <c r="G9" s="2"/>
      <c r="H9" s="2"/>
      <c r="I9" s="2"/>
      <c r="J9" s="2"/>
      <c r="K9" s="2"/>
      <c r="L9" s="2"/>
    </row>
    <row r="10" spans="1:12" ht="32.25" customHeight="1">
      <c r="A10" s="3" t="s">
        <v>240</v>
      </c>
      <c r="B10" s="162" t="s">
        <v>241</v>
      </c>
      <c r="C10" s="162"/>
      <c r="D10" s="162"/>
      <c r="E10" s="162"/>
      <c r="F10" s="162"/>
      <c r="G10" s="162"/>
      <c r="H10" s="2"/>
      <c r="I10" s="2"/>
      <c r="J10" s="2"/>
      <c r="K10" s="2"/>
      <c r="L10" s="2"/>
    </row>
    <row r="11" spans="1:12" ht="15.75">
      <c r="A11" s="3" t="s">
        <v>237</v>
      </c>
      <c r="B11" s="2"/>
      <c r="C11" s="2"/>
      <c r="D11" s="2"/>
      <c r="E11" s="2"/>
      <c r="F11" s="2"/>
      <c r="G11" s="2"/>
      <c r="H11" s="2"/>
      <c r="I11" s="10"/>
      <c r="J11" s="2"/>
      <c r="K11" s="2"/>
      <c r="L11" s="2"/>
    </row>
    <row r="12" spans="1:12" ht="15.75" customHeight="1">
      <c r="A12" s="54" t="s">
        <v>57</v>
      </c>
      <c r="B12" s="216" t="s">
        <v>58</v>
      </c>
      <c r="C12" s="216"/>
      <c r="D12" s="216"/>
      <c r="E12" s="216"/>
      <c r="F12" s="216"/>
      <c r="G12" s="216"/>
      <c r="H12" s="74"/>
      <c r="I12" s="54"/>
      <c r="J12" s="2"/>
      <c r="K12" s="2"/>
      <c r="L12" s="2"/>
    </row>
    <row r="13" spans="1:12" ht="15.75">
      <c r="A13" s="7" t="s">
        <v>250</v>
      </c>
      <c r="B13" s="280" t="s">
        <v>251</v>
      </c>
      <c r="C13" s="280"/>
      <c r="D13" s="280"/>
      <c r="E13" s="280"/>
      <c r="F13" s="280"/>
      <c r="G13" s="280"/>
      <c r="H13" s="7"/>
      <c r="I13" s="7"/>
      <c r="J13" s="2"/>
      <c r="K13" s="2"/>
      <c r="L13" s="2"/>
    </row>
    <row r="14" spans="1:12" ht="15.75">
      <c r="A14" s="2" t="s">
        <v>239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59" t="s">
        <v>244</v>
      </c>
      <c r="D15" s="259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5" thickBot="1">
      <c r="A17" s="5" t="s">
        <v>245</v>
      </c>
      <c r="B17" s="2"/>
      <c r="C17" s="2"/>
      <c r="D17" s="2"/>
      <c r="E17" s="2"/>
      <c r="F17" s="2"/>
      <c r="G17" s="2" t="s">
        <v>246</v>
      </c>
      <c r="H17" s="2"/>
      <c r="I17" s="2"/>
      <c r="J17" s="2"/>
      <c r="K17" s="2"/>
      <c r="L17" s="2"/>
    </row>
    <row r="18" spans="1:12" ht="15.75" customHeight="1">
      <c r="A18" s="260" t="s">
        <v>222</v>
      </c>
      <c r="B18" s="261" t="s">
        <v>242</v>
      </c>
      <c r="C18" s="262" t="s">
        <v>223</v>
      </c>
      <c r="D18" s="263" t="s">
        <v>226</v>
      </c>
      <c r="E18" s="264"/>
      <c r="F18" s="265"/>
      <c r="G18" s="263" t="s">
        <v>65</v>
      </c>
      <c r="H18" s="264"/>
      <c r="I18" s="266"/>
      <c r="J18" s="2"/>
      <c r="K18" s="2"/>
      <c r="L18" s="2"/>
    </row>
    <row r="19" spans="1:12" ht="78.75" customHeight="1">
      <c r="A19" s="267"/>
      <c r="B19" s="252"/>
      <c r="C19" s="250"/>
      <c r="D19" s="57" t="s">
        <v>63</v>
      </c>
      <c r="E19" s="57" t="s">
        <v>64</v>
      </c>
      <c r="F19" s="57" t="s">
        <v>28</v>
      </c>
      <c r="G19" s="57" t="s">
        <v>63</v>
      </c>
      <c r="H19" s="57" t="s">
        <v>64</v>
      </c>
      <c r="I19" s="268" t="s">
        <v>28</v>
      </c>
      <c r="J19" s="2"/>
      <c r="K19" s="2"/>
      <c r="L19" s="2"/>
    </row>
    <row r="20" spans="1:12" ht="15.75">
      <c r="A20" s="269">
        <v>1</v>
      </c>
      <c r="B20" s="13">
        <v>2</v>
      </c>
      <c r="C20" s="13">
        <v>4</v>
      </c>
      <c r="D20" s="13">
        <v>5</v>
      </c>
      <c r="E20" s="13">
        <v>6</v>
      </c>
      <c r="F20" s="13">
        <v>7</v>
      </c>
      <c r="G20" s="13">
        <v>8</v>
      </c>
      <c r="H20" s="13">
        <v>9</v>
      </c>
      <c r="I20" s="270">
        <v>10</v>
      </c>
      <c r="J20" s="2"/>
      <c r="K20" s="2"/>
      <c r="L20" s="2"/>
    </row>
    <row r="21" spans="1:12" ht="125.25" customHeight="1" thickBot="1">
      <c r="A21" s="271">
        <v>1016310</v>
      </c>
      <c r="B21" s="272" t="s">
        <v>227</v>
      </c>
      <c r="C21" s="272" t="s">
        <v>42</v>
      </c>
      <c r="D21" s="273"/>
      <c r="E21" s="274">
        <v>3021.7</v>
      </c>
      <c r="F21" s="274">
        <f>SUM(D21:E21)</f>
        <v>3021.7</v>
      </c>
      <c r="G21" s="274"/>
      <c r="H21" s="274">
        <v>3012.2</v>
      </c>
      <c r="I21" s="275">
        <f>SUM(G21:H21)</f>
        <v>3012.2</v>
      </c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136" t="s">
        <v>243</v>
      </c>
      <c r="B26" s="136"/>
      <c r="C26" s="136"/>
      <c r="D26" s="2"/>
      <c r="E26" s="2"/>
      <c r="F26" s="4"/>
      <c r="G26" s="9" t="s">
        <v>45</v>
      </c>
      <c r="H26" s="9"/>
      <c r="J26" s="2"/>
      <c r="K26" s="2"/>
      <c r="L26" s="2"/>
    </row>
    <row r="27" spans="1:12" ht="15.75">
      <c r="A27" s="7" t="s">
        <v>43</v>
      </c>
      <c r="B27" s="7"/>
      <c r="C27" s="2"/>
      <c r="D27" s="2"/>
      <c r="E27" s="2"/>
      <c r="F27" s="2" t="s">
        <v>44</v>
      </c>
      <c r="G27" s="2"/>
      <c r="H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11">
    <mergeCell ref="G18:I18"/>
    <mergeCell ref="A26:C26"/>
    <mergeCell ref="B12:G12"/>
    <mergeCell ref="B13:G13"/>
    <mergeCell ref="C15:D15"/>
    <mergeCell ref="A18:A19"/>
    <mergeCell ref="B18:B19"/>
    <mergeCell ref="C18:C19"/>
    <mergeCell ref="D18:F18"/>
    <mergeCell ref="B9:E9"/>
    <mergeCell ref="B10:G10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6"/>
  <sheetViews>
    <sheetView topLeftCell="A4" workbookViewId="0">
      <selection activeCell="B10" sqref="B10:K10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5.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5.75" customHeight="1">
      <c r="B14" s="55">
        <v>1011090</v>
      </c>
      <c r="C14" s="126" t="s">
        <v>32</v>
      </c>
      <c r="D14" s="126"/>
      <c r="E14" s="126"/>
      <c r="F14" s="126"/>
      <c r="G14" s="126"/>
      <c r="H14" s="126"/>
      <c r="I14" s="126"/>
      <c r="J14" s="126"/>
      <c r="K14" s="126"/>
      <c r="L14" s="11"/>
      <c r="M14" s="11"/>
    </row>
    <row r="15" spans="2:13" ht="15.75">
      <c r="B15" s="276" t="s">
        <v>249</v>
      </c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76"/>
      <c r="M17" s="2"/>
    </row>
    <row r="18" spans="1:14" ht="39" customHeight="1">
      <c r="A18" s="278" t="s">
        <v>59</v>
      </c>
      <c r="B18" s="154" t="s">
        <v>60</v>
      </c>
      <c r="C18" s="155"/>
      <c r="D18" s="192" t="s">
        <v>61</v>
      </c>
      <c r="E18" s="192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4" t="s">
        <v>66</v>
      </c>
      <c r="M18" s="145"/>
      <c r="N18" s="146"/>
    </row>
    <row r="19" spans="1:14" ht="26.25" customHeight="1">
      <c r="A19" s="279"/>
      <c r="B19" s="156"/>
      <c r="C19" s="157"/>
      <c r="D19" s="193"/>
      <c r="E19" s="193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15.75" customHeight="1">
      <c r="A20" s="60"/>
      <c r="B20" s="132" t="s">
        <v>92</v>
      </c>
      <c r="C20" s="133"/>
      <c r="D20" s="133"/>
      <c r="E20" s="133"/>
      <c r="F20" s="133"/>
      <c r="G20" s="133"/>
      <c r="H20" s="134"/>
      <c r="I20" s="61"/>
      <c r="J20" s="62"/>
      <c r="K20" s="62"/>
      <c r="L20" s="62"/>
      <c r="M20" s="62"/>
      <c r="N20" s="14"/>
    </row>
    <row r="21" spans="1:14" ht="15.75" customHeight="1">
      <c r="A21" s="60">
        <v>1</v>
      </c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30" customHeight="1">
      <c r="A22" s="60"/>
      <c r="B22" s="132" t="s">
        <v>93</v>
      </c>
      <c r="C22" s="134"/>
      <c r="D22" s="18" t="s">
        <v>70</v>
      </c>
      <c r="E22" s="61" t="s">
        <v>94</v>
      </c>
      <c r="F22" s="61">
        <v>2</v>
      </c>
      <c r="G22" s="18"/>
      <c r="H22" s="59">
        <f>SUM(F22:G22)</f>
        <v>2</v>
      </c>
      <c r="I22" s="61">
        <v>2</v>
      </c>
      <c r="J22" s="62"/>
      <c r="K22" s="61">
        <f>SUM(I22:J22)</f>
        <v>2</v>
      </c>
      <c r="L22" s="61">
        <f>I22-F22</f>
        <v>0</v>
      </c>
      <c r="M22" s="61"/>
      <c r="N22" s="64">
        <f>SUM(L22:M22)</f>
        <v>0</v>
      </c>
    </row>
    <row r="23" spans="1:14" ht="31.5" customHeight="1">
      <c r="A23" s="60"/>
      <c r="B23" s="132" t="s">
        <v>95</v>
      </c>
      <c r="C23" s="134"/>
      <c r="D23" s="18" t="s">
        <v>70</v>
      </c>
      <c r="E23" s="61" t="s">
        <v>77</v>
      </c>
      <c r="F23" s="61">
        <v>27.95</v>
      </c>
      <c r="G23" s="61"/>
      <c r="H23" s="76">
        <f t="shared" ref="H23:H28" si="0">SUM(F23:G23)</f>
        <v>27.95</v>
      </c>
      <c r="I23" s="61">
        <v>27.95</v>
      </c>
      <c r="J23" s="62"/>
      <c r="K23" s="61">
        <f t="shared" ref="K23:K28" si="1">SUM(I23:J23)</f>
        <v>27.95</v>
      </c>
      <c r="L23" s="61">
        <f t="shared" ref="L23:L28" si="2">I23-F23</f>
        <v>0</v>
      </c>
      <c r="M23" s="61"/>
      <c r="N23" s="64">
        <f t="shared" ref="N23:N28" si="3">SUM(L23:M23)</f>
        <v>0</v>
      </c>
    </row>
    <row r="24" spans="1:14" ht="15.75" customHeight="1">
      <c r="A24" s="60"/>
      <c r="B24" s="138" t="s">
        <v>96</v>
      </c>
      <c r="C24" s="139"/>
      <c r="D24" s="18" t="s">
        <v>70</v>
      </c>
      <c r="E24" s="61" t="s">
        <v>77</v>
      </c>
      <c r="F24" s="25">
        <v>16.7</v>
      </c>
      <c r="G24" s="25"/>
      <c r="H24" s="75">
        <f t="shared" si="0"/>
        <v>16.7</v>
      </c>
      <c r="I24" s="25">
        <v>16.7</v>
      </c>
      <c r="J24" s="25"/>
      <c r="K24" s="61">
        <f t="shared" si="1"/>
        <v>16.7</v>
      </c>
      <c r="L24" s="61">
        <f t="shared" si="2"/>
        <v>0</v>
      </c>
      <c r="M24" s="61"/>
      <c r="N24" s="64">
        <f t="shared" si="3"/>
        <v>0</v>
      </c>
    </row>
    <row r="25" spans="1:14" ht="27.75" customHeight="1">
      <c r="A25" s="60"/>
      <c r="B25" s="138" t="s">
        <v>97</v>
      </c>
      <c r="C25" s="139"/>
      <c r="D25" s="18" t="s">
        <v>70</v>
      </c>
      <c r="E25" s="61" t="s">
        <v>77</v>
      </c>
      <c r="F25" s="25">
        <v>7.5</v>
      </c>
      <c r="G25" s="25"/>
      <c r="H25" s="75">
        <f t="shared" si="0"/>
        <v>7.5</v>
      </c>
      <c r="I25" s="25">
        <v>7.5</v>
      </c>
      <c r="J25" s="25"/>
      <c r="K25" s="61">
        <f t="shared" si="1"/>
        <v>7.5</v>
      </c>
      <c r="L25" s="61">
        <f t="shared" si="2"/>
        <v>0</v>
      </c>
      <c r="M25" s="61"/>
      <c r="N25" s="64">
        <f t="shared" si="3"/>
        <v>0</v>
      </c>
    </row>
    <row r="26" spans="1:14" ht="15.75" customHeight="1">
      <c r="A26" s="60"/>
      <c r="B26" s="138" t="s">
        <v>98</v>
      </c>
      <c r="C26" s="139"/>
      <c r="D26" s="18" t="s">
        <v>70</v>
      </c>
      <c r="E26" s="61" t="s">
        <v>77</v>
      </c>
      <c r="F26" s="25"/>
      <c r="G26" s="25"/>
      <c r="H26" s="59">
        <f t="shared" si="0"/>
        <v>0</v>
      </c>
      <c r="I26" s="25"/>
      <c r="J26" s="25"/>
      <c r="K26" s="61">
        <f t="shared" si="1"/>
        <v>0</v>
      </c>
      <c r="L26" s="61">
        <f t="shared" si="2"/>
        <v>0</v>
      </c>
      <c r="M26" s="61"/>
      <c r="N26" s="64">
        <f t="shared" si="3"/>
        <v>0</v>
      </c>
    </row>
    <row r="27" spans="1:14" ht="15.75" customHeight="1">
      <c r="A27" s="60"/>
      <c r="B27" s="140" t="s">
        <v>99</v>
      </c>
      <c r="C27" s="141"/>
      <c r="D27" s="18" t="s">
        <v>70</v>
      </c>
      <c r="E27" s="61" t="s">
        <v>77</v>
      </c>
      <c r="F27" s="25">
        <v>3.75</v>
      </c>
      <c r="G27" s="25"/>
      <c r="H27" s="76">
        <f t="shared" si="0"/>
        <v>3.75</v>
      </c>
      <c r="I27" s="25">
        <v>3.75</v>
      </c>
      <c r="J27" s="25"/>
      <c r="K27" s="61">
        <f t="shared" si="1"/>
        <v>3.75</v>
      </c>
      <c r="L27" s="61">
        <f t="shared" si="2"/>
        <v>0</v>
      </c>
      <c r="M27" s="61"/>
      <c r="N27" s="64">
        <f t="shared" si="3"/>
        <v>0</v>
      </c>
    </row>
    <row r="28" spans="1:14" ht="28.5" customHeight="1">
      <c r="A28" s="60"/>
      <c r="B28" s="140" t="s">
        <v>81</v>
      </c>
      <c r="C28" s="141"/>
      <c r="D28" s="18" t="s">
        <v>70</v>
      </c>
      <c r="E28" s="61" t="s">
        <v>77</v>
      </c>
      <c r="F28" s="25">
        <f>SUM(F24:F27)</f>
        <v>27.95</v>
      </c>
      <c r="G28" s="25"/>
      <c r="H28" s="76">
        <f t="shared" si="0"/>
        <v>27.95</v>
      </c>
      <c r="I28" s="25">
        <f>SUM(I24:I27)</f>
        <v>27.95</v>
      </c>
      <c r="J28" s="25"/>
      <c r="K28" s="61">
        <f t="shared" si="1"/>
        <v>27.95</v>
      </c>
      <c r="L28" s="61">
        <f t="shared" si="2"/>
        <v>0</v>
      </c>
      <c r="M28" s="61"/>
      <c r="N28" s="64">
        <f t="shared" si="3"/>
        <v>0</v>
      </c>
    </row>
    <row r="29" spans="1:14">
      <c r="A29" s="60">
        <v>2</v>
      </c>
      <c r="B29" s="142" t="s">
        <v>82</v>
      </c>
      <c r="C29" s="143"/>
      <c r="D29" s="15"/>
      <c r="E29" s="15"/>
      <c r="F29" s="25"/>
      <c r="G29" s="25"/>
      <c r="H29" s="25"/>
      <c r="I29" s="25"/>
      <c r="J29" s="25"/>
      <c r="K29" s="25"/>
      <c r="L29" s="61"/>
      <c r="M29" s="61"/>
      <c r="N29" s="64"/>
    </row>
    <row r="30" spans="1:14" ht="27.75" customHeight="1">
      <c r="A30" s="127"/>
      <c r="B30" s="125" t="s">
        <v>100</v>
      </c>
      <c r="C30" s="125"/>
      <c r="D30" s="120" t="s">
        <v>101</v>
      </c>
      <c r="E30" s="122" t="s">
        <v>102</v>
      </c>
      <c r="F30" s="59">
        <f>(1840*8+1795*4)/12</f>
        <v>1825</v>
      </c>
      <c r="G30" s="56"/>
      <c r="H30" s="80">
        <f t="shared" ref="H30:H35" si="4">SUM(F30:G30)</f>
        <v>1825</v>
      </c>
      <c r="I30" s="61">
        <f>(1840*8+1780*4)/12</f>
        <v>1820</v>
      </c>
      <c r="J30" s="25"/>
      <c r="K30" s="25">
        <f t="shared" ref="K30:K35" si="5">SUM(I30:J30)</f>
        <v>1820</v>
      </c>
      <c r="L30" s="61">
        <f t="shared" ref="L30:L32" si="6">I30-F30</f>
        <v>-5</v>
      </c>
      <c r="M30" s="61"/>
      <c r="N30" s="64">
        <f t="shared" ref="N30:N32" si="7">SUM(L30:M30)</f>
        <v>-5</v>
      </c>
    </row>
    <row r="31" spans="1:14" ht="25.5" customHeight="1">
      <c r="A31" s="128"/>
      <c r="B31" s="125"/>
      <c r="C31" s="125"/>
      <c r="D31" s="120"/>
      <c r="E31" s="123"/>
      <c r="F31" s="59">
        <v>757</v>
      </c>
      <c r="G31" s="56"/>
      <c r="H31" s="80">
        <f t="shared" si="4"/>
        <v>757</v>
      </c>
      <c r="I31" s="61">
        <v>752</v>
      </c>
      <c r="J31" s="25"/>
      <c r="K31" s="25">
        <f t="shared" si="5"/>
        <v>752</v>
      </c>
      <c r="L31" s="61">
        <f t="shared" si="6"/>
        <v>-5</v>
      </c>
      <c r="M31" s="61"/>
      <c r="N31" s="64">
        <f t="shared" si="7"/>
        <v>-5</v>
      </c>
    </row>
    <row r="32" spans="1:14" ht="26.25" customHeight="1">
      <c r="A32" s="129"/>
      <c r="B32" s="125"/>
      <c r="C32" s="125"/>
      <c r="D32" s="121"/>
      <c r="E32" s="124"/>
      <c r="F32" s="59">
        <v>1068</v>
      </c>
      <c r="G32" s="56"/>
      <c r="H32" s="80">
        <f t="shared" si="4"/>
        <v>1068</v>
      </c>
      <c r="I32" s="61">
        <v>1068</v>
      </c>
      <c r="J32" s="25"/>
      <c r="K32" s="25">
        <f t="shared" si="5"/>
        <v>1068</v>
      </c>
      <c r="L32" s="61">
        <f t="shared" si="6"/>
        <v>0</v>
      </c>
      <c r="M32" s="61"/>
      <c r="N32" s="64">
        <f t="shared" si="7"/>
        <v>0</v>
      </c>
    </row>
    <row r="33" spans="1:14" ht="27" customHeight="1">
      <c r="A33" s="96"/>
      <c r="B33" s="90" t="s">
        <v>103</v>
      </c>
      <c r="C33" s="91"/>
      <c r="D33" s="120" t="s">
        <v>101</v>
      </c>
      <c r="E33" s="122" t="s">
        <v>102</v>
      </c>
      <c r="F33" s="59">
        <f>(1840*8+1795*4)/12</f>
        <v>1825</v>
      </c>
      <c r="G33" s="56"/>
      <c r="H33" s="80">
        <f t="shared" si="4"/>
        <v>1825</v>
      </c>
      <c r="I33" s="61">
        <f>(1840*8+1780*4)/12</f>
        <v>1820</v>
      </c>
      <c r="J33" s="25"/>
      <c r="K33" s="25">
        <f t="shared" si="5"/>
        <v>1820</v>
      </c>
      <c r="L33" s="61">
        <f t="shared" ref="L33:L35" si="8">I33-F33</f>
        <v>-5</v>
      </c>
      <c r="M33" s="61"/>
      <c r="N33" s="64">
        <f t="shared" ref="N33:N35" si="9">SUM(L33:M33)</f>
        <v>-5</v>
      </c>
    </row>
    <row r="34" spans="1:14" ht="25.5" customHeight="1">
      <c r="A34" s="97"/>
      <c r="B34" s="92"/>
      <c r="C34" s="93"/>
      <c r="D34" s="120"/>
      <c r="E34" s="123"/>
      <c r="F34" s="59">
        <v>757</v>
      </c>
      <c r="G34" s="56"/>
      <c r="H34" s="80">
        <f t="shared" si="4"/>
        <v>757</v>
      </c>
      <c r="I34" s="61">
        <v>752</v>
      </c>
      <c r="J34" s="25"/>
      <c r="K34" s="25">
        <f t="shared" si="5"/>
        <v>752</v>
      </c>
      <c r="L34" s="61">
        <f t="shared" si="8"/>
        <v>-5</v>
      </c>
      <c r="M34" s="61"/>
      <c r="N34" s="64">
        <f t="shared" si="9"/>
        <v>-5</v>
      </c>
    </row>
    <row r="35" spans="1:14" ht="27" customHeight="1">
      <c r="A35" s="98"/>
      <c r="B35" s="94"/>
      <c r="C35" s="95"/>
      <c r="D35" s="121"/>
      <c r="E35" s="124"/>
      <c r="F35" s="59">
        <v>1068</v>
      </c>
      <c r="G35" s="56"/>
      <c r="H35" s="80">
        <f t="shared" si="4"/>
        <v>1068</v>
      </c>
      <c r="I35" s="61">
        <v>1068</v>
      </c>
      <c r="J35" s="25"/>
      <c r="K35" s="25">
        <f t="shared" si="5"/>
        <v>1068</v>
      </c>
      <c r="L35" s="61">
        <f t="shared" si="8"/>
        <v>0</v>
      </c>
      <c r="M35" s="61"/>
      <c r="N35" s="64">
        <f t="shared" si="9"/>
        <v>0</v>
      </c>
    </row>
    <row r="36" spans="1:14" ht="36" customHeight="1">
      <c r="A36" s="96"/>
      <c r="B36" s="90" t="s">
        <v>104</v>
      </c>
      <c r="C36" s="91"/>
      <c r="D36" s="120" t="s">
        <v>101</v>
      </c>
      <c r="E36" s="117" t="s">
        <v>105</v>
      </c>
      <c r="F36" s="68">
        <v>652</v>
      </c>
      <c r="G36" s="57"/>
      <c r="H36" s="80">
        <f t="shared" ref="H36:H38" si="10">SUM(F36:G36)</f>
        <v>652</v>
      </c>
      <c r="I36" s="61">
        <v>651</v>
      </c>
      <c r="J36" s="68"/>
      <c r="K36" s="80">
        <f t="shared" ref="K36:K38" si="11">SUM(I36:J36)</f>
        <v>651</v>
      </c>
      <c r="L36" s="61">
        <f t="shared" ref="L36:L38" si="12">I36-F36</f>
        <v>-1</v>
      </c>
      <c r="M36" s="61"/>
      <c r="N36" s="64">
        <f t="shared" ref="N36:N38" si="13">SUM(L36:M36)</f>
        <v>-1</v>
      </c>
    </row>
    <row r="37" spans="1:14" ht="28.5" customHeight="1">
      <c r="A37" s="97"/>
      <c r="B37" s="92"/>
      <c r="C37" s="93"/>
      <c r="D37" s="120"/>
      <c r="E37" s="118"/>
      <c r="F37" s="68">
        <v>239</v>
      </c>
      <c r="G37" s="57"/>
      <c r="H37" s="80">
        <f t="shared" si="10"/>
        <v>239</v>
      </c>
      <c r="I37" s="61">
        <v>234</v>
      </c>
      <c r="J37" s="68"/>
      <c r="K37" s="80">
        <f t="shared" si="11"/>
        <v>234</v>
      </c>
      <c r="L37" s="61">
        <f t="shared" si="12"/>
        <v>-5</v>
      </c>
      <c r="M37" s="61"/>
      <c r="N37" s="64">
        <f t="shared" si="13"/>
        <v>-5</v>
      </c>
    </row>
    <row r="38" spans="1:14" ht="27" customHeight="1">
      <c r="A38" s="98"/>
      <c r="B38" s="94"/>
      <c r="C38" s="95"/>
      <c r="D38" s="121"/>
      <c r="E38" s="119"/>
      <c r="F38" s="68">
        <v>413</v>
      </c>
      <c r="G38" s="57"/>
      <c r="H38" s="80">
        <f t="shared" si="10"/>
        <v>413</v>
      </c>
      <c r="I38" s="61">
        <v>417</v>
      </c>
      <c r="J38" s="68"/>
      <c r="K38" s="80">
        <f t="shared" si="11"/>
        <v>417</v>
      </c>
      <c r="L38" s="61">
        <f t="shared" si="12"/>
        <v>4</v>
      </c>
      <c r="M38" s="61"/>
      <c r="N38" s="64">
        <f t="shared" si="13"/>
        <v>4</v>
      </c>
    </row>
    <row r="39" spans="1:14" ht="30" customHeight="1">
      <c r="A39" s="96"/>
      <c r="B39" s="90" t="s">
        <v>106</v>
      </c>
      <c r="C39" s="91"/>
      <c r="D39" s="120" t="s">
        <v>101</v>
      </c>
      <c r="E39" s="117" t="s">
        <v>105</v>
      </c>
      <c r="F39" s="68">
        <v>135</v>
      </c>
      <c r="G39" s="25"/>
      <c r="H39" s="80">
        <f t="shared" ref="H39:H62" si="14">SUM(F39:G39)</f>
        <v>135</v>
      </c>
      <c r="I39" s="68">
        <v>135</v>
      </c>
      <c r="J39" s="25"/>
      <c r="K39" s="80">
        <f t="shared" ref="K39:K65" si="15">SUM(I39:J39)</f>
        <v>135</v>
      </c>
      <c r="L39" s="61">
        <f t="shared" ref="L39:L41" si="16">I39-F39</f>
        <v>0</v>
      </c>
      <c r="M39" s="61"/>
      <c r="N39" s="64">
        <f t="shared" ref="N39:N41" si="17">SUM(L39:M39)</f>
        <v>0</v>
      </c>
    </row>
    <row r="40" spans="1:14" ht="32.25" customHeight="1">
      <c r="A40" s="97"/>
      <c r="B40" s="92"/>
      <c r="C40" s="93"/>
      <c r="D40" s="120"/>
      <c r="E40" s="118"/>
      <c r="F40" s="68">
        <v>64</v>
      </c>
      <c r="G40" s="25"/>
      <c r="H40" s="80">
        <f t="shared" si="14"/>
        <v>64</v>
      </c>
      <c r="I40" s="68">
        <v>64</v>
      </c>
      <c r="J40" s="25"/>
      <c r="K40" s="80">
        <f t="shared" si="15"/>
        <v>64</v>
      </c>
      <c r="L40" s="61">
        <f t="shared" si="16"/>
        <v>0</v>
      </c>
      <c r="M40" s="61"/>
      <c r="N40" s="64">
        <f t="shared" si="17"/>
        <v>0</v>
      </c>
    </row>
    <row r="41" spans="1:14" ht="27.75" customHeight="1">
      <c r="A41" s="98"/>
      <c r="B41" s="94"/>
      <c r="C41" s="95"/>
      <c r="D41" s="121"/>
      <c r="E41" s="119"/>
      <c r="F41" s="68">
        <v>71</v>
      </c>
      <c r="G41" s="25"/>
      <c r="H41" s="80">
        <f t="shared" si="14"/>
        <v>71</v>
      </c>
      <c r="I41" s="68">
        <v>71</v>
      </c>
      <c r="J41" s="25"/>
      <c r="K41" s="80">
        <f t="shared" si="15"/>
        <v>71</v>
      </c>
      <c r="L41" s="61">
        <f t="shared" si="16"/>
        <v>0</v>
      </c>
      <c r="M41" s="61"/>
      <c r="N41" s="64">
        <f t="shared" si="17"/>
        <v>0</v>
      </c>
    </row>
    <row r="42" spans="1:14" ht="32.25" customHeight="1">
      <c r="A42" s="96"/>
      <c r="B42" s="108" t="s">
        <v>107</v>
      </c>
      <c r="C42" s="109"/>
      <c r="D42" s="120" t="s">
        <v>101</v>
      </c>
      <c r="E42" s="99" t="s">
        <v>105</v>
      </c>
      <c r="F42" s="68">
        <v>100</v>
      </c>
      <c r="G42" s="25"/>
      <c r="H42" s="80">
        <f t="shared" si="14"/>
        <v>100</v>
      </c>
      <c r="I42" s="61">
        <v>92</v>
      </c>
      <c r="J42" s="25"/>
      <c r="K42" s="25">
        <f t="shared" si="15"/>
        <v>92</v>
      </c>
      <c r="L42" s="61">
        <f t="shared" ref="L42:L44" si="18">I42-F42</f>
        <v>-8</v>
      </c>
      <c r="M42" s="61"/>
      <c r="N42" s="64">
        <f t="shared" ref="N42:N44" si="19">SUM(L42:M42)</f>
        <v>-8</v>
      </c>
    </row>
    <row r="43" spans="1:14" ht="25.5" customHeight="1">
      <c r="A43" s="97"/>
      <c r="B43" s="110"/>
      <c r="C43" s="111"/>
      <c r="D43" s="120"/>
      <c r="E43" s="100"/>
      <c r="F43" s="68">
        <v>47</v>
      </c>
      <c r="G43" s="25"/>
      <c r="H43" s="80">
        <f t="shared" si="14"/>
        <v>47</v>
      </c>
      <c r="I43" s="61">
        <v>41</v>
      </c>
      <c r="J43" s="25"/>
      <c r="K43" s="25">
        <f t="shared" si="15"/>
        <v>41</v>
      </c>
      <c r="L43" s="61">
        <f t="shared" si="18"/>
        <v>-6</v>
      </c>
      <c r="M43" s="61"/>
      <c r="N43" s="64">
        <f t="shared" si="19"/>
        <v>-6</v>
      </c>
    </row>
    <row r="44" spans="1:14" ht="32.25" customHeight="1">
      <c r="A44" s="98"/>
      <c r="B44" s="112"/>
      <c r="C44" s="113"/>
      <c r="D44" s="121"/>
      <c r="E44" s="101"/>
      <c r="F44" s="68">
        <v>53</v>
      </c>
      <c r="G44" s="25"/>
      <c r="H44" s="80">
        <f t="shared" si="14"/>
        <v>53</v>
      </c>
      <c r="I44" s="61">
        <v>51</v>
      </c>
      <c r="J44" s="25"/>
      <c r="K44" s="25">
        <f t="shared" si="15"/>
        <v>51</v>
      </c>
      <c r="L44" s="61">
        <f t="shared" si="18"/>
        <v>-2</v>
      </c>
      <c r="M44" s="61"/>
      <c r="N44" s="64">
        <f t="shared" si="19"/>
        <v>-2</v>
      </c>
    </row>
    <row r="45" spans="1:14" ht="30.75" customHeight="1">
      <c r="A45" s="96"/>
      <c r="B45" s="90" t="s">
        <v>108</v>
      </c>
      <c r="C45" s="91"/>
      <c r="D45" s="120" t="s">
        <v>101</v>
      </c>
      <c r="E45" s="99" t="s">
        <v>105</v>
      </c>
      <c r="F45" s="68">
        <v>241</v>
      </c>
      <c r="G45" s="25"/>
      <c r="H45" s="80">
        <f t="shared" si="14"/>
        <v>241</v>
      </c>
      <c r="I45" s="61">
        <v>241</v>
      </c>
      <c r="J45" s="25"/>
      <c r="K45" s="25">
        <f t="shared" si="15"/>
        <v>241</v>
      </c>
      <c r="L45" s="61">
        <f t="shared" ref="L45:L47" si="20">I45-F45</f>
        <v>0</v>
      </c>
      <c r="M45" s="61"/>
      <c r="N45" s="64">
        <f t="shared" ref="N45:N47" si="21">SUM(L45:M45)</f>
        <v>0</v>
      </c>
    </row>
    <row r="46" spans="1:14" ht="30.75" customHeight="1">
      <c r="A46" s="97"/>
      <c r="B46" s="92"/>
      <c r="C46" s="93"/>
      <c r="D46" s="120"/>
      <c r="E46" s="100"/>
      <c r="F46" s="68">
        <v>130</v>
      </c>
      <c r="G46" s="25"/>
      <c r="H46" s="80">
        <f t="shared" si="14"/>
        <v>130</v>
      </c>
      <c r="I46" s="61">
        <v>132</v>
      </c>
      <c r="J46" s="25"/>
      <c r="K46" s="25">
        <f t="shared" si="15"/>
        <v>132</v>
      </c>
      <c r="L46" s="61">
        <f t="shared" si="20"/>
        <v>2</v>
      </c>
      <c r="M46" s="61"/>
      <c r="N46" s="64">
        <f t="shared" si="21"/>
        <v>2</v>
      </c>
    </row>
    <row r="47" spans="1:14" ht="27.75" customHeight="1">
      <c r="A47" s="98"/>
      <c r="B47" s="94"/>
      <c r="C47" s="95"/>
      <c r="D47" s="121"/>
      <c r="E47" s="101"/>
      <c r="F47" s="68">
        <v>111</v>
      </c>
      <c r="G47" s="25"/>
      <c r="H47" s="80">
        <f t="shared" si="14"/>
        <v>111</v>
      </c>
      <c r="I47" s="61">
        <v>109</v>
      </c>
      <c r="J47" s="25"/>
      <c r="K47" s="25">
        <f t="shared" si="15"/>
        <v>109</v>
      </c>
      <c r="L47" s="61">
        <f t="shared" si="20"/>
        <v>-2</v>
      </c>
      <c r="M47" s="61"/>
      <c r="N47" s="64">
        <f t="shared" si="21"/>
        <v>-2</v>
      </c>
    </row>
    <row r="48" spans="1:14" ht="30.75" customHeight="1">
      <c r="A48" s="96"/>
      <c r="B48" s="108" t="s">
        <v>109</v>
      </c>
      <c r="C48" s="109"/>
      <c r="D48" s="120" t="s">
        <v>101</v>
      </c>
      <c r="E48" s="114" t="s">
        <v>105</v>
      </c>
      <c r="F48" s="68">
        <v>376</v>
      </c>
      <c r="G48" s="25"/>
      <c r="H48" s="80">
        <f t="shared" si="14"/>
        <v>376</v>
      </c>
      <c r="I48" s="61">
        <v>371</v>
      </c>
      <c r="J48" s="25"/>
      <c r="K48" s="25">
        <f t="shared" si="15"/>
        <v>371</v>
      </c>
      <c r="L48" s="61">
        <f t="shared" ref="L48:L50" si="22">I48-F48</f>
        <v>-5</v>
      </c>
      <c r="M48" s="61"/>
      <c r="N48" s="64">
        <f t="shared" ref="N48:N50" si="23">SUM(L48:M48)</f>
        <v>-5</v>
      </c>
    </row>
    <row r="49" spans="1:14" ht="29.25" customHeight="1">
      <c r="A49" s="97"/>
      <c r="B49" s="110"/>
      <c r="C49" s="111"/>
      <c r="D49" s="120"/>
      <c r="E49" s="115"/>
      <c r="F49" s="68">
        <v>133</v>
      </c>
      <c r="G49" s="25"/>
      <c r="H49" s="80">
        <f t="shared" si="14"/>
        <v>133</v>
      </c>
      <c r="I49" s="61">
        <v>132</v>
      </c>
      <c r="J49" s="25"/>
      <c r="K49" s="25">
        <f t="shared" si="15"/>
        <v>132</v>
      </c>
      <c r="L49" s="61">
        <f t="shared" si="22"/>
        <v>-1</v>
      </c>
      <c r="M49" s="61"/>
      <c r="N49" s="64">
        <f t="shared" si="23"/>
        <v>-1</v>
      </c>
    </row>
    <row r="50" spans="1:14" ht="30" customHeight="1">
      <c r="A50" s="98"/>
      <c r="B50" s="112"/>
      <c r="C50" s="113"/>
      <c r="D50" s="121"/>
      <c r="E50" s="116"/>
      <c r="F50" s="68">
        <v>243</v>
      </c>
      <c r="G50" s="25"/>
      <c r="H50" s="80">
        <f t="shared" si="14"/>
        <v>243</v>
      </c>
      <c r="I50" s="61">
        <v>239</v>
      </c>
      <c r="J50" s="25"/>
      <c r="K50" s="25">
        <f t="shared" si="15"/>
        <v>239</v>
      </c>
      <c r="L50" s="61">
        <f t="shared" si="22"/>
        <v>-4</v>
      </c>
      <c r="M50" s="61"/>
      <c r="N50" s="64">
        <f t="shared" si="23"/>
        <v>-4</v>
      </c>
    </row>
    <row r="51" spans="1:14" ht="31.5" customHeight="1">
      <c r="A51" s="96"/>
      <c r="B51" s="90" t="s">
        <v>110</v>
      </c>
      <c r="C51" s="91"/>
      <c r="D51" s="120" t="s">
        <v>101</v>
      </c>
      <c r="E51" s="99" t="s">
        <v>105</v>
      </c>
      <c r="F51" s="68">
        <v>57</v>
      </c>
      <c r="G51" s="25"/>
      <c r="H51" s="80">
        <f t="shared" si="14"/>
        <v>57</v>
      </c>
      <c r="I51" s="68">
        <v>57</v>
      </c>
      <c r="J51" s="25"/>
      <c r="K51" s="80">
        <f t="shared" si="15"/>
        <v>57</v>
      </c>
      <c r="L51" s="61">
        <f t="shared" ref="L51:L53" si="24">I51-F51</f>
        <v>0</v>
      </c>
      <c r="M51" s="61"/>
      <c r="N51" s="64">
        <f t="shared" ref="N51:N53" si="25">SUM(L51:M51)</f>
        <v>0</v>
      </c>
    </row>
    <row r="52" spans="1:14" ht="29.25" customHeight="1">
      <c r="A52" s="97"/>
      <c r="B52" s="92"/>
      <c r="C52" s="93"/>
      <c r="D52" s="120"/>
      <c r="E52" s="100"/>
      <c r="F52" s="68">
        <v>36</v>
      </c>
      <c r="G52" s="25"/>
      <c r="H52" s="80">
        <f t="shared" si="14"/>
        <v>36</v>
      </c>
      <c r="I52" s="68">
        <v>36</v>
      </c>
      <c r="J52" s="25"/>
      <c r="K52" s="80">
        <f t="shared" si="15"/>
        <v>36</v>
      </c>
      <c r="L52" s="61">
        <f t="shared" si="24"/>
        <v>0</v>
      </c>
      <c r="M52" s="61"/>
      <c r="N52" s="64">
        <f t="shared" si="25"/>
        <v>0</v>
      </c>
    </row>
    <row r="53" spans="1:14" ht="29.25" customHeight="1">
      <c r="A53" s="98"/>
      <c r="B53" s="94"/>
      <c r="C53" s="95"/>
      <c r="D53" s="121"/>
      <c r="E53" s="101"/>
      <c r="F53" s="68">
        <v>21</v>
      </c>
      <c r="G53" s="25"/>
      <c r="H53" s="80">
        <f t="shared" si="14"/>
        <v>21</v>
      </c>
      <c r="I53" s="68">
        <v>21</v>
      </c>
      <c r="J53" s="25"/>
      <c r="K53" s="80">
        <f t="shared" si="15"/>
        <v>21</v>
      </c>
      <c r="L53" s="61">
        <f t="shared" si="24"/>
        <v>0</v>
      </c>
      <c r="M53" s="61"/>
      <c r="N53" s="64">
        <f t="shared" si="25"/>
        <v>0</v>
      </c>
    </row>
    <row r="54" spans="1:14" ht="28.5" customHeight="1">
      <c r="A54" s="96"/>
      <c r="B54" s="102" t="s">
        <v>112</v>
      </c>
      <c r="C54" s="103"/>
      <c r="D54" s="120" t="s">
        <v>101</v>
      </c>
      <c r="E54" s="99" t="s">
        <v>105</v>
      </c>
      <c r="F54" s="68">
        <v>45</v>
      </c>
      <c r="G54" s="25"/>
      <c r="H54" s="80">
        <f t="shared" si="14"/>
        <v>45</v>
      </c>
      <c r="I54" s="61">
        <v>45</v>
      </c>
      <c r="J54" s="25"/>
      <c r="K54" s="25">
        <f t="shared" si="15"/>
        <v>45</v>
      </c>
      <c r="L54" s="61">
        <f t="shared" ref="L54:L56" si="26">I54-F54</f>
        <v>0</v>
      </c>
      <c r="M54" s="61"/>
      <c r="N54" s="64">
        <f t="shared" ref="N54:N56" si="27">SUM(L54:M54)</f>
        <v>0</v>
      </c>
    </row>
    <row r="55" spans="1:14" ht="31.5" customHeight="1">
      <c r="A55" s="97"/>
      <c r="B55" s="104"/>
      <c r="C55" s="105"/>
      <c r="D55" s="120"/>
      <c r="E55" s="100"/>
      <c r="F55" s="68">
        <v>22</v>
      </c>
      <c r="G55" s="25"/>
      <c r="H55" s="80">
        <f t="shared" si="14"/>
        <v>22</v>
      </c>
      <c r="I55" s="61">
        <v>23</v>
      </c>
      <c r="J55" s="25"/>
      <c r="K55" s="25">
        <f t="shared" si="15"/>
        <v>23</v>
      </c>
      <c r="L55" s="61">
        <f t="shared" si="26"/>
        <v>1</v>
      </c>
      <c r="M55" s="61"/>
      <c r="N55" s="64">
        <f t="shared" si="27"/>
        <v>1</v>
      </c>
    </row>
    <row r="56" spans="1:14" ht="30" customHeight="1">
      <c r="A56" s="98"/>
      <c r="B56" s="106"/>
      <c r="C56" s="107"/>
      <c r="D56" s="121"/>
      <c r="E56" s="101"/>
      <c r="F56" s="68">
        <v>23</v>
      </c>
      <c r="G56" s="25"/>
      <c r="H56" s="80">
        <f t="shared" si="14"/>
        <v>23</v>
      </c>
      <c r="I56" s="61">
        <v>22</v>
      </c>
      <c r="J56" s="25"/>
      <c r="K56" s="25">
        <f t="shared" si="15"/>
        <v>22</v>
      </c>
      <c r="L56" s="61">
        <f t="shared" si="26"/>
        <v>-1</v>
      </c>
      <c r="M56" s="61"/>
      <c r="N56" s="64">
        <f t="shared" si="27"/>
        <v>-1</v>
      </c>
    </row>
    <row r="57" spans="1:14" ht="27.75" customHeight="1">
      <c r="A57" s="96"/>
      <c r="B57" s="90" t="s">
        <v>113</v>
      </c>
      <c r="C57" s="91"/>
      <c r="D57" s="120" t="s">
        <v>101</v>
      </c>
      <c r="E57" s="99" t="s">
        <v>105</v>
      </c>
      <c r="F57" s="68">
        <v>144</v>
      </c>
      <c r="G57" s="25"/>
      <c r="H57" s="80">
        <f t="shared" si="14"/>
        <v>144</v>
      </c>
      <c r="I57" s="61">
        <v>144</v>
      </c>
      <c r="J57" s="25"/>
      <c r="K57" s="25">
        <f t="shared" si="15"/>
        <v>144</v>
      </c>
      <c r="L57" s="61">
        <f t="shared" ref="L57:L59" si="28">I57-F57</f>
        <v>0</v>
      </c>
      <c r="M57" s="61"/>
      <c r="N57" s="64">
        <f t="shared" ref="N57:N59" si="29">SUM(L57:M57)</f>
        <v>0</v>
      </c>
    </row>
    <row r="58" spans="1:14" ht="29.25" customHeight="1">
      <c r="A58" s="97"/>
      <c r="B58" s="92"/>
      <c r="C58" s="93"/>
      <c r="D58" s="120"/>
      <c r="E58" s="100"/>
      <c r="F58" s="68">
        <v>50</v>
      </c>
      <c r="G58" s="25"/>
      <c r="H58" s="80">
        <f t="shared" si="14"/>
        <v>50</v>
      </c>
      <c r="I58" s="61">
        <v>51</v>
      </c>
      <c r="J58" s="25"/>
      <c r="K58" s="25">
        <f t="shared" si="15"/>
        <v>51</v>
      </c>
      <c r="L58" s="61">
        <f t="shared" si="28"/>
        <v>1</v>
      </c>
      <c r="M58" s="61"/>
      <c r="N58" s="64">
        <f t="shared" si="29"/>
        <v>1</v>
      </c>
    </row>
    <row r="59" spans="1:14" ht="32.25" customHeight="1">
      <c r="A59" s="98"/>
      <c r="B59" s="94"/>
      <c r="C59" s="95"/>
      <c r="D59" s="121"/>
      <c r="E59" s="101"/>
      <c r="F59" s="68">
        <v>94</v>
      </c>
      <c r="G59" s="25"/>
      <c r="H59" s="80">
        <f t="shared" si="14"/>
        <v>94</v>
      </c>
      <c r="I59" s="61">
        <v>93</v>
      </c>
      <c r="J59" s="25"/>
      <c r="K59" s="25">
        <f t="shared" si="15"/>
        <v>93</v>
      </c>
      <c r="L59" s="61">
        <f t="shared" si="28"/>
        <v>-1</v>
      </c>
      <c r="M59" s="61"/>
      <c r="N59" s="64">
        <f t="shared" si="29"/>
        <v>-1</v>
      </c>
    </row>
    <row r="60" spans="1:14" ht="24.75" customHeight="1">
      <c r="A60" s="96"/>
      <c r="B60" s="90" t="s">
        <v>114</v>
      </c>
      <c r="C60" s="91"/>
      <c r="D60" s="120" t="s">
        <v>101</v>
      </c>
      <c r="E60" s="99" t="s">
        <v>105</v>
      </c>
      <c r="F60" s="68">
        <v>75</v>
      </c>
      <c r="G60" s="25"/>
      <c r="H60" s="80">
        <f t="shared" si="14"/>
        <v>75</v>
      </c>
      <c r="I60" s="68">
        <v>75</v>
      </c>
      <c r="J60" s="25"/>
      <c r="K60" s="80">
        <f t="shared" si="15"/>
        <v>75</v>
      </c>
      <c r="L60" s="61">
        <f t="shared" ref="L60:L62" si="30">I60-F60</f>
        <v>0</v>
      </c>
      <c r="M60" s="61"/>
      <c r="N60" s="64">
        <f t="shared" ref="N60:N62" si="31">SUM(L60:M60)</f>
        <v>0</v>
      </c>
    </row>
    <row r="61" spans="1:14" ht="25.5" customHeight="1">
      <c r="A61" s="97"/>
      <c r="B61" s="92"/>
      <c r="C61" s="93"/>
      <c r="D61" s="120"/>
      <c r="E61" s="100"/>
      <c r="F61" s="68">
        <v>36</v>
      </c>
      <c r="G61" s="25"/>
      <c r="H61" s="80">
        <f t="shared" si="14"/>
        <v>36</v>
      </c>
      <c r="I61" s="68">
        <v>36</v>
      </c>
      <c r="J61" s="25"/>
      <c r="K61" s="80">
        <f t="shared" si="15"/>
        <v>36</v>
      </c>
      <c r="L61" s="61">
        <f t="shared" si="30"/>
        <v>0</v>
      </c>
      <c r="M61" s="61"/>
      <c r="N61" s="64">
        <f t="shared" si="31"/>
        <v>0</v>
      </c>
    </row>
    <row r="62" spans="1:14" ht="28.5" customHeight="1">
      <c r="A62" s="98"/>
      <c r="B62" s="94"/>
      <c r="C62" s="95"/>
      <c r="D62" s="121"/>
      <c r="E62" s="101"/>
      <c r="F62" s="68">
        <v>39</v>
      </c>
      <c r="G62" s="25"/>
      <c r="H62" s="80">
        <f t="shared" si="14"/>
        <v>39</v>
      </c>
      <c r="I62" s="68">
        <v>39</v>
      </c>
      <c r="J62" s="25"/>
      <c r="K62" s="80">
        <f t="shared" si="15"/>
        <v>39</v>
      </c>
      <c r="L62" s="61">
        <f t="shared" si="30"/>
        <v>0</v>
      </c>
      <c r="M62" s="61"/>
      <c r="N62" s="64">
        <f t="shared" si="31"/>
        <v>0</v>
      </c>
    </row>
    <row r="63" spans="1:14" ht="29.25" customHeight="1">
      <c r="A63" s="96"/>
      <c r="B63" s="90" t="s">
        <v>115</v>
      </c>
      <c r="C63" s="91"/>
      <c r="D63" s="120" t="s">
        <v>101</v>
      </c>
      <c r="E63" s="99" t="s">
        <v>105</v>
      </c>
      <c r="F63" s="25"/>
      <c r="G63" s="25"/>
      <c r="H63" s="25"/>
      <c r="I63" s="61">
        <v>9</v>
      </c>
      <c r="J63" s="25"/>
      <c r="K63" s="25">
        <f t="shared" si="15"/>
        <v>9</v>
      </c>
      <c r="L63" s="61">
        <f t="shared" ref="L63:L65" si="32">I63-F63</f>
        <v>9</v>
      </c>
      <c r="M63" s="61"/>
      <c r="N63" s="64">
        <f t="shared" ref="N63:N65" si="33">SUM(L63:M63)</f>
        <v>9</v>
      </c>
    </row>
    <row r="64" spans="1:14" ht="30" customHeight="1">
      <c r="A64" s="97"/>
      <c r="B64" s="92"/>
      <c r="C64" s="93"/>
      <c r="D64" s="120"/>
      <c r="E64" s="100"/>
      <c r="F64" s="25"/>
      <c r="G64" s="25"/>
      <c r="H64" s="25"/>
      <c r="I64" s="61">
        <v>3</v>
      </c>
      <c r="J64" s="25"/>
      <c r="K64" s="25">
        <f t="shared" si="15"/>
        <v>3</v>
      </c>
      <c r="L64" s="61">
        <f t="shared" si="32"/>
        <v>3</v>
      </c>
      <c r="M64" s="61"/>
      <c r="N64" s="64">
        <f t="shared" si="33"/>
        <v>3</v>
      </c>
    </row>
    <row r="65" spans="1:14" ht="30" customHeight="1">
      <c r="A65" s="98"/>
      <c r="B65" s="94"/>
      <c r="C65" s="95"/>
      <c r="D65" s="121"/>
      <c r="E65" s="101"/>
      <c r="F65" s="25"/>
      <c r="G65" s="25"/>
      <c r="H65" s="25"/>
      <c r="I65" s="61">
        <v>6</v>
      </c>
      <c r="J65" s="25"/>
      <c r="K65" s="25">
        <f t="shared" si="15"/>
        <v>6</v>
      </c>
      <c r="L65" s="61">
        <f t="shared" si="32"/>
        <v>6</v>
      </c>
      <c r="M65" s="61"/>
      <c r="N65" s="64">
        <f t="shared" si="33"/>
        <v>6</v>
      </c>
    </row>
    <row r="66" spans="1:14" ht="15" customHeight="1">
      <c r="A66" s="60"/>
      <c r="B66" s="132" t="s">
        <v>116</v>
      </c>
      <c r="C66" s="134"/>
      <c r="D66" s="58" t="s">
        <v>70</v>
      </c>
      <c r="E66" s="56" t="s">
        <v>94</v>
      </c>
      <c r="F66" s="59">
        <f>F67+F68+F69+F70+F71+F72+F73+F74+F75</f>
        <v>76</v>
      </c>
      <c r="G66" s="56"/>
      <c r="H66" s="83">
        <f>SUM(F66:G66)</f>
        <v>76</v>
      </c>
      <c r="I66" s="59">
        <f>I67+I68+I69+I70+I71+I72+I73+I74+I75+I76</f>
        <v>75</v>
      </c>
      <c r="J66" s="25"/>
      <c r="K66" s="83">
        <f t="shared" ref="K66:K78" si="34">SUM(I66:J66)</f>
        <v>75</v>
      </c>
      <c r="L66" s="61">
        <f t="shared" ref="L66:L78" si="35">I66-F66</f>
        <v>-1</v>
      </c>
      <c r="M66" s="61"/>
      <c r="N66" s="64">
        <f t="shared" ref="N66:N78" si="36">SUM(L66:M66)</f>
        <v>-1</v>
      </c>
    </row>
    <row r="67" spans="1:14" ht="15" customHeight="1">
      <c r="A67" s="60"/>
      <c r="B67" s="132" t="s">
        <v>104</v>
      </c>
      <c r="C67" s="134"/>
      <c r="D67" s="58" t="s">
        <v>70</v>
      </c>
      <c r="E67" s="56" t="s">
        <v>94</v>
      </c>
      <c r="F67" s="59">
        <v>29</v>
      </c>
      <c r="G67" s="56"/>
      <c r="H67" s="83">
        <f t="shared" ref="H67:H78" si="37">SUM(F67:G67)</f>
        <v>29</v>
      </c>
      <c r="I67" s="61">
        <v>29</v>
      </c>
      <c r="J67" s="25"/>
      <c r="K67" s="83">
        <f t="shared" si="34"/>
        <v>29</v>
      </c>
      <c r="L67" s="61">
        <f t="shared" si="35"/>
        <v>0</v>
      </c>
      <c r="M67" s="61"/>
      <c r="N67" s="64">
        <f t="shared" si="36"/>
        <v>0</v>
      </c>
    </row>
    <row r="68" spans="1:14" ht="15" customHeight="1">
      <c r="A68" s="60"/>
      <c r="B68" s="132" t="s">
        <v>106</v>
      </c>
      <c r="C68" s="134"/>
      <c r="D68" s="58" t="s">
        <v>70</v>
      </c>
      <c r="E68" s="56" t="s">
        <v>94</v>
      </c>
      <c r="F68" s="59">
        <v>6</v>
      </c>
      <c r="G68" s="56"/>
      <c r="H68" s="83">
        <f t="shared" si="37"/>
        <v>6</v>
      </c>
      <c r="I68" s="61">
        <v>6</v>
      </c>
      <c r="J68" s="25"/>
      <c r="K68" s="83">
        <f t="shared" si="34"/>
        <v>6</v>
      </c>
      <c r="L68" s="61">
        <f t="shared" si="35"/>
        <v>0</v>
      </c>
      <c r="M68" s="61"/>
      <c r="N68" s="64">
        <f t="shared" si="36"/>
        <v>0</v>
      </c>
    </row>
    <row r="69" spans="1:14" ht="15" customHeight="1">
      <c r="A69" s="60"/>
      <c r="B69" s="132" t="s">
        <v>107</v>
      </c>
      <c r="C69" s="134"/>
      <c r="D69" s="58" t="s">
        <v>70</v>
      </c>
      <c r="E69" s="56" t="s">
        <v>94</v>
      </c>
      <c r="F69" s="59">
        <v>4</v>
      </c>
      <c r="G69" s="56"/>
      <c r="H69" s="83">
        <f t="shared" si="37"/>
        <v>4</v>
      </c>
      <c r="I69" s="61">
        <v>3</v>
      </c>
      <c r="J69" s="25"/>
      <c r="K69" s="83">
        <f t="shared" si="34"/>
        <v>3</v>
      </c>
      <c r="L69" s="61">
        <f t="shared" si="35"/>
        <v>-1</v>
      </c>
      <c r="M69" s="61"/>
      <c r="N69" s="64">
        <f t="shared" si="36"/>
        <v>-1</v>
      </c>
    </row>
    <row r="70" spans="1:14" ht="15" customHeight="1">
      <c r="A70" s="60"/>
      <c r="B70" s="132" t="s">
        <v>108</v>
      </c>
      <c r="C70" s="134"/>
      <c r="D70" s="58" t="s">
        <v>70</v>
      </c>
      <c r="E70" s="56" t="s">
        <v>94</v>
      </c>
      <c r="F70" s="59">
        <v>10</v>
      </c>
      <c r="G70" s="56"/>
      <c r="H70" s="83">
        <f t="shared" si="37"/>
        <v>10</v>
      </c>
      <c r="I70" s="61">
        <v>10</v>
      </c>
      <c r="J70" s="25"/>
      <c r="K70" s="83">
        <f t="shared" si="34"/>
        <v>10</v>
      </c>
      <c r="L70" s="61">
        <f t="shared" si="35"/>
        <v>0</v>
      </c>
      <c r="M70" s="61"/>
      <c r="N70" s="64">
        <f t="shared" si="36"/>
        <v>0</v>
      </c>
    </row>
    <row r="71" spans="1:14" ht="15" customHeight="1">
      <c r="A71" s="60"/>
      <c r="B71" s="132" t="s">
        <v>109</v>
      </c>
      <c r="C71" s="134"/>
      <c r="D71" s="58" t="s">
        <v>70</v>
      </c>
      <c r="E71" s="56" t="s">
        <v>94</v>
      </c>
      <c r="F71" s="59">
        <v>16</v>
      </c>
      <c r="G71" s="56"/>
      <c r="H71" s="83">
        <f t="shared" si="37"/>
        <v>16</v>
      </c>
      <c r="I71" s="61">
        <v>15</v>
      </c>
      <c r="J71" s="25"/>
      <c r="K71" s="83">
        <f t="shared" si="34"/>
        <v>15</v>
      </c>
      <c r="L71" s="61">
        <f t="shared" si="35"/>
        <v>-1</v>
      </c>
      <c r="M71" s="61"/>
      <c r="N71" s="64">
        <f t="shared" si="36"/>
        <v>-1</v>
      </c>
    </row>
    <row r="72" spans="1:14" ht="15" customHeight="1">
      <c r="A72" s="60"/>
      <c r="B72" s="132" t="s">
        <v>117</v>
      </c>
      <c r="C72" s="134"/>
      <c r="D72" s="58" t="s">
        <v>70</v>
      </c>
      <c r="E72" s="56" t="s">
        <v>94</v>
      </c>
      <c r="F72" s="59">
        <v>2</v>
      </c>
      <c r="G72" s="56"/>
      <c r="H72" s="83">
        <f t="shared" si="37"/>
        <v>2</v>
      </c>
      <c r="I72" s="61">
        <v>2</v>
      </c>
      <c r="J72" s="25"/>
      <c r="K72" s="83">
        <f t="shared" si="34"/>
        <v>2</v>
      </c>
      <c r="L72" s="61">
        <f t="shared" si="35"/>
        <v>0</v>
      </c>
      <c r="M72" s="61"/>
      <c r="N72" s="64">
        <f t="shared" si="36"/>
        <v>0</v>
      </c>
    </row>
    <row r="73" spans="1:14" ht="15" customHeight="1">
      <c r="A73" s="60"/>
      <c r="B73" s="132" t="s">
        <v>111</v>
      </c>
      <c r="C73" s="134"/>
      <c r="D73" s="58" t="s">
        <v>70</v>
      </c>
      <c r="E73" s="56" t="s">
        <v>94</v>
      </c>
      <c r="F73" s="59">
        <v>2</v>
      </c>
      <c r="G73" s="56"/>
      <c r="H73" s="83">
        <f t="shared" si="37"/>
        <v>2</v>
      </c>
      <c r="I73" s="61">
        <v>2</v>
      </c>
      <c r="J73" s="25"/>
      <c r="K73" s="83">
        <f t="shared" si="34"/>
        <v>2</v>
      </c>
      <c r="L73" s="61">
        <f t="shared" si="35"/>
        <v>0</v>
      </c>
      <c r="M73" s="61"/>
      <c r="N73" s="64">
        <f t="shared" si="36"/>
        <v>0</v>
      </c>
    </row>
    <row r="74" spans="1:14" ht="15" customHeight="1">
      <c r="A74" s="60"/>
      <c r="B74" s="132" t="s">
        <v>113</v>
      </c>
      <c r="C74" s="134"/>
      <c r="D74" s="58" t="s">
        <v>70</v>
      </c>
      <c r="E74" s="56" t="s">
        <v>94</v>
      </c>
      <c r="F74" s="59">
        <v>4</v>
      </c>
      <c r="G74" s="56"/>
      <c r="H74" s="83">
        <f t="shared" si="37"/>
        <v>4</v>
      </c>
      <c r="I74" s="61">
        <v>4</v>
      </c>
      <c r="J74" s="25"/>
      <c r="K74" s="83">
        <f t="shared" si="34"/>
        <v>4</v>
      </c>
      <c r="L74" s="61">
        <f t="shared" si="35"/>
        <v>0</v>
      </c>
      <c r="M74" s="61"/>
      <c r="N74" s="64">
        <f t="shared" si="36"/>
        <v>0</v>
      </c>
    </row>
    <row r="75" spans="1:14">
      <c r="A75" s="60"/>
      <c r="B75" s="132" t="s">
        <v>114</v>
      </c>
      <c r="C75" s="134"/>
      <c r="D75" s="58" t="s">
        <v>70</v>
      </c>
      <c r="E75" s="56" t="s">
        <v>94</v>
      </c>
      <c r="F75" s="59">
        <v>3</v>
      </c>
      <c r="G75" s="56"/>
      <c r="H75" s="83">
        <f t="shared" si="37"/>
        <v>3</v>
      </c>
      <c r="I75" s="61">
        <v>3</v>
      </c>
      <c r="J75" s="25"/>
      <c r="K75" s="83">
        <f t="shared" si="34"/>
        <v>3</v>
      </c>
      <c r="L75" s="61">
        <f t="shared" si="35"/>
        <v>0</v>
      </c>
      <c r="M75" s="61"/>
      <c r="N75" s="64">
        <f t="shared" si="36"/>
        <v>0</v>
      </c>
    </row>
    <row r="76" spans="1:14" ht="15" customHeight="1">
      <c r="A76" s="60"/>
      <c r="B76" s="132" t="s">
        <v>115</v>
      </c>
      <c r="C76" s="134"/>
      <c r="D76" s="58" t="s">
        <v>70</v>
      </c>
      <c r="E76" s="56" t="s">
        <v>94</v>
      </c>
      <c r="F76" s="59"/>
      <c r="G76" s="56"/>
      <c r="H76" s="83">
        <f t="shared" si="37"/>
        <v>0</v>
      </c>
      <c r="I76" s="61">
        <v>1</v>
      </c>
      <c r="J76" s="25"/>
      <c r="K76" s="83">
        <f t="shared" si="34"/>
        <v>1</v>
      </c>
      <c r="L76" s="61">
        <f t="shared" si="35"/>
        <v>1</v>
      </c>
      <c r="M76" s="61"/>
      <c r="N76" s="64">
        <f t="shared" si="36"/>
        <v>1</v>
      </c>
    </row>
    <row r="77" spans="1:14" ht="15" customHeight="1">
      <c r="A77" s="60"/>
      <c r="B77" s="132" t="s">
        <v>118</v>
      </c>
      <c r="C77" s="134"/>
      <c r="D77" s="58" t="s">
        <v>70</v>
      </c>
      <c r="E77" s="56" t="s">
        <v>94</v>
      </c>
      <c r="F77" s="59">
        <v>200</v>
      </c>
      <c r="G77" s="56"/>
      <c r="H77" s="83">
        <f t="shared" si="37"/>
        <v>200</v>
      </c>
      <c r="I77" s="61">
        <v>205</v>
      </c>
      <c r="J77" s="25"/>
      <c r="K77" s="83">
        <f t="shared" si="34"/>
        <v>205</v>
      </c>
      <c r="L77" s="61">
        <f t="shared" si="35"/>
        <v>5</v>
      </c>
      <c r="M77" s="61"/>
      <c r="N77" s="64">
        <f t="shared" si="36"/>
        <v>5</v>
      </c>
    </row>
    <row r="78" spans="1:14" ht="15" customHeight="1">
      <c r="A78" s="60"/>
      <c r="B78" s="132" t="s">
        <v>119</v>
      </c>
      <c r="C78" s="134"/>
      <c r="D78" s="58" t="s">
        <v>85</v>
      </c>
      <c r="E78" s="56" t="s">
        <v>94</v>
      </c>
      <c r="F78" s="59">
        <v>1100</v>
      </c>
      <c r="G78" s="56"/>
      <c r="H78" s="83">
        <f t="shared" si="37"/>
        <v>1100</v>
      </c>
      <c r="I78" s="61">
        <v>1128</v>
      </c>
      <c r="J78" s="25"/>
      <c r="K78" s="83">
        <f t="shared" si="34"/>
        <v>1128</v>
      </c>
      <c r="L78" s="61">
        <f t="shared" si="35"/>
        <v>28</v>
      </c>
      <c r="M78" s="61"/>
      <c r="N78" s="64">
        <f t="shared" si="36"/>
        <v>28</v>
      </c>
    </row>
    <row r="79" spans="1:14">
      <c r="A79" s="60">
        <v>3</v>
      </c>
      <c r="B79" s="81" t="s">
        <v>120</v>
      </c>
      <c r="C79" s="82"/>
      <c r="D79" s="64"/>
      <c r="E79" s="15"/>
      <c r="F79" s="25"/>
      <c r="G79" s="25"/>
      <c r="H79" s="25"/>
      <c r="I79" s="25"/>
      <c r="J79" s="25"/>
      <c r="K79" s="25"/>
      <c r="L79" s="61"/>
      <c r="M79" s="61"/>
      <c r="N79" s="64"/>
    </row>
    <row r="80" spans="1:14" ht="35.25" customHeight="1">
      <c r="A80" s="60"/>
      <c r="B80" s="132" t="s">
        <v>121</v>
      </c>
      <c r="C80" s="134"/>
      <c r="D80" s="84" t="s">
        <v>123</v>
      </c>
      <c r="E80" s="85" t="s">
        <v>124</v>
      </c>
      <c r="F80" s="75">
        <f>2029010/1825</f>
        <v>1111.7863013698629</v>
      </c>
      <c r="G80" s="61"/>
      <c r="H80" s="194">
        <f>SUM(F80:G80)</f>
        <v>1111.7863013698629</v>
      </c>
      <c r="I80" s="75">
        <f>2028294/1820</f>
        <v>1114.4472527472528</v>
      </c>
      <c r="J80" s="25"/>
      <c r="K80" s="77">
        <f>SUM(I80:J80)</f>
        <v>1114.4472527472528</v>
      </c>
      <c r="L80" s="194">
        <f t="shared" ref="L80:L92" si="38">I80-F80</f>
        <v>2.6609513773898925</v>
      </c>
      <c r="M80" s="194"/>
      <c r="N80" s="198">
        <f t="shared" ref="N80:N92" si="39">SUM(L80:M80)</f>
        <v>2.6609513773898925</v>
      </c>
    </row>
    <row r="81" spans="1:14" ht="35.25" customHeight="1">
      <c r="A81" s="60"/>
      <c r="B81" s="132" t="s">
        <v>103</v>
      </c>
      <c r="C81" s="133"/>
      <c r="D81" s="84" t="s">
        <v>123</v>
      </c>
      <c r="E81" s="85" t="s">
        <v>124</v>
      </c>
      <c r="F81" s="75">
        <f>2029010/76</f>
        <v>26697.5</v>
      </c>
      <c r="G81" s="61"/>
      <c r="H81" s="200">
        <f>SUM(F81:G81)</f>
        <v>26697.5</v>
      </c>
      <c r="I81" s="75">
        <f>2028294/75</f>
        <v>27043.919999999998</v>
      </c>
      <c r="J81" s="25"/>
      <c r="K81" s="77">
        <f t="shared" ref="K81:K92" si="40">SUM(I81:J81)</f>
        <v>27043.919999999998</v>
      </c>
      <c r="L81" s="194">
        <f t="shared" si="38"/>
        <v>346.41999999999825</v>
      </c>
      <c r="M81" s="194"/>
      <c r="N81" s="198">
        <f t="shared" si="39"/>
        <v>346.41999999999825</v>
      </c>
    </row>
    <row r="82" spans="1:14" ht="46.5" customHeight="1">
      <c r="A82" s="60"/>
      <c r="B82" s="132" t="s">
        <v>104</v>
      </c>
      <c r="C82" s="134"/>
      <c r="D82" s="84" t="s">
        <v>123</v>
      </c>
      <c r="E82" s="85" t="s">
        <v>125</v>
      </c>
      <c r="F82" s="75">
        <f>26697.5*29/652</f>
        <v>1187.465490797546</v>
      </c>
      <c r="G82" s="61"/>
      <c r="H82" s="200">
        <f t="shared" ref="H82:H92" si="41">SUM(F82:G82)</f>
        <v>1187.465490797546</v>
      </c>
      <c r="I82" s="75">
        <f>27043.9*29/651</f>
        <v>1204.7205837173581</v>
      </c>
      <c r="J82" s="25"/>
      <c r="K82" s="77">
        <f t="shared" si="40"/>
        <v>1204.7205837173581</v>
      </c>
      <c r="L82" s="194">
        <f t="shared" si="38"/>
        <v>17.255092919812114</v>
      </c>
      <c r="M82" s="194"/>
      <c r="N82" s="198">
        <f t="shared" si="39"/>
        <v>17.255092919812114</v>
      </c>
    </row>
    <row r="83" spans="1:14" ht="45.75" customHeight="1">
      <c r="A83" s="60"/>
      <c r="B83" s="132" t="s">
        <v>106</v>
      </c>
      <c r="C83" s="134"/>
      <c r="D83" s="84" t="s">
        <v>123</v>
      </c>
      <c r="E83" s="85" t="s">
        <v>126</v>
      </c>
      <c r="F83" s="75">
        <f>26697.5*6/135</f>
        <v>1186.5555555555557</v>
      </c>
      <c r="G83" s="61"/>
      <c r="H83" s="200">
        <f t="shared" si="41"/>
        <v>1186.5555555555557</v>
      </c>
      <c r="I83" s="75">
        <f>27043.9*6/135</f>
        <v>1201.9511111111112</v>
      </c>
      <c r="J83" s="25"/>
      <c r="K83" s="77">
        <f t="shared" si="40"/>
        <v>1201.9511111111112</v>
      </c>
      <c r="L83" s="194">
        <f t="shared" si="38"/>
        <v>15.395555555555575</v>
      </c>
      <c r="M83" s="194"/>
      <c r="N83" s="198">
        <f t="shared" si="39"/>
        <v>15.395555555555575</v>
      </c>
    </row>
    <row r="84" spans="1:14" ht="46.5" customHeight="1">
      <c r="A84" s="60"/>
      <c r="B84" s="132" t="s">
        <v>107</v>
      </c>
      <c r="C84" s="133"/>
      <c r="D84" s="84" t="s">
        <v>123</v>
      </c>
      <c r="E84" s="85" t="s">
        <v>127</v>
      </c>
      <c r="F84" s="75">
        <f>26697.5*4/100</f>
        <v>1067.9000000000001</v>
      </c>
      <c r="G84" s="61"/>
      <c r="H84" s="200">
        <f t="shared" si="41"/>
        <v>1067.9000000000001</v>
      </c>
      <c r="I84" s="75">
        <f>27043.9*3/92</f>
        <v>881.86630434782626</v>
      </c>
      <c r="J84" s="25"/>
      <c r="K84" s="77">
        <f t="shared" si="40"/>
        <v>881.86630434782626</v>
      </c>
      <c r="L84" s="194">
        <f t="shared" si="38"/>
        <v>-186.03369565217383</v>
      </c>
      <c r="M84" s="194"/>
      <c r="N84" s="198">
        <f t="shared" si="39"/>
        <v>-186.03369565217383</v>
      </c>
    </row>
    <row r="85" spans="1:14" ht="47.25" customHeight="1">
      <c r="A85" s="60"/>
      <c r="B85" s="132" t="s">
        <v>108</v>
      </c>
      <c r="C85" s="134"/>
      <c r="D85" s="84" t="s">
        <v>123</v>
      </c>
      <c r="E85" s="85" t="s">
        <v>128</v>
      </c>
      <c r="F85" s="75">
        <f>26697.5*10/241</f>
        <v>1107.7800829875519</v>
      </c>
      <c r="G85" s="61"/>
      <c r="H85" s="200">
        <f t="shared" si="41"/>
        <v>1107.7800829875519</v>
      </c>
      <c r="I85" s="75">
        <f>27043.9*10/241</f>
        <v>1122.1535269709543</v>
      </c>
      <c r="J85" s="25"/>
      <c r="K85" s="77">
        <f t="shared" si="40"/>
        <v>1122.1535269709543</v>
      </c>
      <c r="L85" s="194">
        <f t="shared" si="38"/>
        <v>14.373443983402467</v>
      </c>
      <c r="M85" s="194"/>
      <c r="N85" s="198">
        <f t="shared" si="39"/>
        <v>14.373443983402467</v>
      </c>
    </row>
    <row r="86" spans="1:14" ht="46.5" customHeight="1">
      <c r="A86" s="60"/>
      <c r="B86" s="132" t="s">
        <v>109</v>
      </c>
      <c r="C86" s="133"/>
      <c r="D86" s="84" t="s">
        <v>123</v>
      </c>
      <c r="E86" s="85" t="s">
        <v>127</v>
      </c>
      <c r="F86" s="75">
        <f>26697.5*16/376</f>
        <v>1136.063829787234</v>
      </c>
      <c r="G86" s="61"/>
      <c r="H86" s="200">
        <f t="shared" si="41"/>
        <v>1136.063829787234</v>
      </c>
      <c r="I86" s="75">
        <f>27043.9*15/371</f>
        <v>1093.4191374663073</v>
      </c>
      <c r="J86" s="25"/>
      <c r="K86" s="77">
        <f t="shared" si="40"/>
        <v>1093.4191374663073</v>
      </c>
      <c r="L86" s="194">
        <f t="shared" si="38"/>
        <v>-42.644692320926652</v>
      </c>
      <c r="M86" s="194"/>
      <c r="N86" s="198">
        <f t="shared" si="39"/>
        <v>-42.644692320926652</v>
      </c>
    </row>
    <row r="87" spans="1:14" ht="49.5" customHeight="1">
      <c r="A87" s="60"/>
      <c r="B87" s="132" t="s">
        <v>117</v>
      </c>
      <c r="C87" s="133"/>
      <c r="D87" s="84" t="s">
        <v>123</v>
      </c>
      <c r="E87" s="85" t="s">
        <v>127</v>
      </c>
      <c r="F87" s="75">
        <f>26697.5*2/57</f>
        <v>936.75438596491233</v>
      </c>
      <c r="G87" s="61"/>
      <c r="H87" s="200">
        <f t="shared" si="41"/>
        <v>936.75438596491233</v>
      </c>
      <c r="I87" s="75">
        <f>27043.9*2/57</f>
        <v>948.90877192982464</v>
      </c>
      <c r="J87" s="25"/>
      <c r="K87" s="77">
        <f t="shared" si="40"/>
        <v>948.90877192982464</v>
      </c>
      <c r="L87" s="194">
        <f t="shared" si="38"/>
        <v>12.154385964912308</v>
      </c>
      <c r="M87" s="194"/>
      <c r="N87" s="198">
        <f t="shared" si="39"/>
        <v>12.154385964912308</v>
      </c>
    </row>
    <row r="88" spans="1:14" ht="48" customHeight="1">
      <c r="A88" s="60"/>
      <c r="B88" s="132" t="s">
        <v>111</v>
      </c>
      <c r="C88" s="134"/>
      <c r="D88" s="84" t="s">
        <v>123</v>
      </c>
      <c r="E88" s="85" t="s">
        <v>129</v>
      </c>
      <c r="F88" s="75">
        <f>26697.5*2/45</f>
        <v>1186.5555555555557</v>
      </c>
      <c r="G88" s="61"/>
      <c r="H88" s="200">
        <f t="shared" si="41"/>
        <v>1186.5555555555557</v>
      </c>
      <c r="I88" s="75">
        <f>27043.9*2/45</f>
        <v>1201.9511111111112</v>
      </c>
      <c r="J88" s="25"/>
      <c r="K88" s="77">
        <f t="shared" si="40"/>
        <v>1201.9511111111112</v>
      </c>
      <c r="L88" s="194">
        <f t="shared" si="38"/>
        <v>15.395555555555575</v>
      </c>
      <c r="M88" s="194"/>
      <c r="N88" s="198">
        <f t="shared" si="39"/>
        <v>15.395555555555575</v>
      </c>
    </row>
    <row r="89" spans="1:14" ht="47.25" customHeight="1">
      <c r="A89" s="60"/>
      <c r="B89" s="132" t="s">
        <v>113</v>
      </c>
      <c r="C89" s="134"/>
      <c r="D89" s="84" t="s">
        <v>123</v>
      </c>
      <c r="E89" s="85" t="s">
        <v>127</v>
      </c>
      <c r="F89" s="75">
        <f>26697.5*4/144</f>
        <v>741.59722222222217</v>
      </c>
      <c r="G89" s="61"/>
      <c r="H89" s="200">
        <f t="shared" si="41"/>
        <v>741.59722222222217</v>
      </c>
      <c r="I89" s="75">
        <f>27043.9*4/144</f>
        <v>751.21944444444443</v>
      </c>
      <c r="J89" s="25"/>
      <c r="K89" s="77">
        <f t="shared" si="40"/>
        <v>751.21944444444443</v>
      </c>
      <c r="L89" s="194">
        <f t="shared" si="38"/>
        <v>9.6222222222222626</v>
      </c>
      <c r="M89" s="194"/>
      <c r="N89" s="198">
        <f t="shared" si="39"/>
        <v>9.6222222222222626</v>
      </c>
    </row>
    <row r="90" spans="1:14" ht="47.25" customHeight="1">
      <c r="A90" s="60"/>
      <c r="B90" s="132" t="s">
        <v>114</v>
      </c>
      <c r="C90" s="134"/>
      <c r="D90" s="84" t="s">
        <v>123</v>
      </c>
      <c r="E90" s="85" t="s">
        <v>127</v>
      </c>
      <c r="F90" s="75">
        <f>26697.5*3/75</f>
        <v>1067.9000000000001</v>
      </c>
      <c r="G90" s="61"/>
      <c r="H90" s="200">
        <f t="shared" si="41"/>
        <v>1067.9000000000001</v>
      </c>
      <c r="I90" s="75">
        <f>27043.9*3/75</f>
        <v>1081.7560000000001</v>
      </c>
      <c r="J90" s="25"/>
      <c r="K90" s="77">
        <f t="shared" si="40"/>
        <v>1081.7560000000001</v>
      </c>
      <c r="L90" s="194">
        <f t="shared" si="38"/>
        <v>13.855999999999995</v>
      </c>
      <c r="M90" s="194"/>
      <c r="N90" s="198">
        <f t="shared" si="39"/>
        <v>13.855999999999995</v>
      </c>
    </row>
    <row r="91" spans="1:14" ht="48.75" customHeight="1">
      <c r="B91" s="132" t="s">
        <v>115</v>
      </c>
      <c r="C91" s="133"/>
      <c r="D91" s="84" t="s">
        <v>123</v>
      </c>
      <c r="E91" s="85" t="s">
        <v>127</v>
      </c>
      <c r="F91" s="75"/>
      <c r="G91" s="61"/>
      <c r="H91" s="200">
        <f t="shared" si="41"/>
        <v>0</v>
      </c>
      <c r="I91" s="75">
        <f>27043.9*1/9</f>
        <v>3004.8777777777777</v>
      </c>
      <c r="J91" s="25"/>
      <c r="K91" s="77">
        <f t="shared" si="40"/>
        <v>3004.8777777777777</v>
      </c>
      <c r="L91" s="194">
        <f t="shared" si="38"/>
        <v>3004.8777777777777</v>
      </c>
      <c r="M91" s="194"/>
      <c r="N91" s="198">
        <f t="shared" si="39"/>
        <v>3004.8777777777777</v>
      </c>
    </row>
    <row r="92" spans="1:14" ht="36" customHeight="1">
      <c r="A92" s="60"/>
      <c r="B92" s="132" t="s">
        <v>122</v>
      </c>
      <c r="C92" s="134"/>
      <c r="D92" s="58" t="s">
        <v>123</v>
      </c>
      <c r="E92" s="86" t="s">
        <v>130</v>
      </c>
      <c r="F92" s="75">
        <f>2029010/200</f>
        <v>10145.049999999999</v>
      </c>
      <c r="G92" s="196"/>
      <c r="H92" s="200">
        <f t="shared" si="41"/>
        <v>10145.049999999999</v>
      </c>
      <c r="I92" s="59">
        <v>0</v>
      </c>
      <c r="J92" s="25"/>
      <c r="K92" s="77">
        <f t="shared" si="40"/>
        <v>0</v>
      </c>
      <c r="L92" s="194">
        <f t="shared" si="38"/>
        <v>-10145.049999999999</v>
      </c>
      <c r="M92" s="194"/>
      <c r="N92" s="198">
        <f t="shared" si="39"/>
        <v>-10145.049999999999</v>
      </c>
    </row>
    <row r="93" spans="1:14" ht="15.75" customHeight="1">
      <c r="A93" s="60">
        <v>4</v>
      </c>
      <c r="B93" s="197" t="s">
        <v>89</v>
      </c>
      <c r="C93" s="197"/>
      <c r="D93" s="183"/>
      <c r="E93" s="183"/>
      <c r="F93" s="201"/>
      <c r="G93" s="201"/>
      <c r="H93" s="201"/>
      <c r="I93" s="59"/>
      <c r="J93" s="25"/>
      <c r="K93" s="77"/>
      <c r="L93" s="61"/>
      <c r="M93" s="61"/>
      <c r="N93" s="24"/>
    </row>
    <row r="94" spans="1:14" ht="28.5" customHeight="1">
      <c r="A94" s="96"/>
      <c r="B94" s="210" t="s">
        <v>131</v>
      </c>
      <c r="C94" s="211"/>
      <c r="D94" s="188" t="s">
        <v>134</v>
      </c>
      <c r="E94" s="202" t="s">
        <v>135</v>
      </c>
      <c r="F94" s="194">
        <f>1825/2927*100</f>
        <v>62.350529552442779</v>
      </c>
      <c r="G94" s="61"/>
      <c r="H94" s="194">
        <f>SUM(F94:G94)</f>
        <v>62.350529552442779</v>
      </c>
      <c r="I94" s="194">
        <f>1820/2927*100</f>
        <v>62.179706183805948</v>
      </c>
      <c r="J94" s="25"/>
      <c r="K94" s="77">
        <f>SUM(I94:J94)</f>
        <v>62.179706183805948</v>
      </c>
      <c r="L94" s="194">
        <f t="shared" ref="L94:L126" si="42">I94-F94</f>
        <v>-0.17082336863683167</v>
      </c>
      <c r="M94" s="194"/>
      <c r="N94" s="198">
        <f t="shared" ref="N94:N126" si="43">SUM(L94:M94)</f>
        <v>-0.17082336863683167</v>
      </c>
    </row>
    <row r="95" spans="1:14" ht="28.5" customHeight="1">
      <c r="A95" s="97"/>
      <c r="B95" s="212"/>
      <c r="C95" s="213"/>
      <c r="D95" s="189"/>
      <c r="E95" s="202"/>
      <c r="F95" s="194">
        <f>757/1542*100</f>
        <v>49.092088197146559</v>
      </c>
      <c r="G95" s="61"/>
      <c r="H95" s="194">
        <f t="shared" ref="H95:H126" si="44">SUM(F95:G95)</f>
        <v>49.092088197146559</v>
      </c>
      <c r="I95" s="194">
        <f>752/1542*100</f>
        <v>48.767833981841761</v>
      </c>
      <c r="J95" s="25"/>
      <c r="K95" s="77">
        <f t="shared" ref="K95:K126" si="45">SUM(I95:J95)</f>
        <v>48.767833981841761</v>
      </c>
      <c r="L95" s="194">
        <f t="shared" si="42"/>
        <v>-0.32425421530479781</v>
      </c>
      <c r="M95" s="194"/>
      <c r="N95" s="198">
        <f t="shared" si="43"/>
        <v>-0.32425421530479781</v>
      </c>
    </row>
    <row r="96" spans="1:14" ht="28.5" customHeight="1">
      <c r="A96" s="98"/>
      <c r="B96" s="214"/>
      <c r="C96" s="215"/>
      <c r="D96" s="190"/>
      <c r="E96" s="202"/>
      <c r="F96" s="194">
        <f>1068/1385*100</f>
        <v>77.111913357400724</v>
      </c>
      <c r="G96" s="61"/>
      <c r="H96" s="194">
        <f t="shared" si="44"/>
        <v>77.111913357400724</v>
      </c>
      <c r="I96" s="194">
        <f>1068/1385*100</f>
        <v>77.111913357400724</v>
      </c>
      <c r="J96" s="25"/>
      <c r="K96" s="77">
        <f t="shared" si="45"/>
        <v>77.111913357400724</v>
      </c>
      <c r="L96" s="194">
        <f t="shared" si="42"/>
        <v>0</v>
      </c>
      <c r="M96" s="194"/>
      <c r="N96" s="198">
        <f t="shared" si="43"/>
        <v>0</v>
      </c>
    </row>
    <row r="97" spans="1:14" ht="28.5" customHeight="1">
      <c r="A97" s="96"/>
      <c r="B97" s="210" t="s">
        <v>104</v>
      </c>
      <c r="C97" s="211"/>
      <c r="D97" s="188" t="s">
        <v>134</v>
      </c>
      <c r="E97" s="203" t="s">
        <v>136</v>
      </c>
      <c r="F97" s="194">
        <f>652/2927*100</f>
        <v>22.275367270242569</v>
      </c>
      <c r="G97" s="61"/>
      <c r="H97" s="194">
        <f t="shared" si="44"/>
        <v>22.275367270242569</v>
      </c>
      <c r="I97" s="194">
        <f>651/2927*100</f>
        <v>22.241202596515201</v>
      </c>
      <c r="J97" s="25"/>
      <c r="K97" s="77">
        <f t="shared" si="45"/>
        <v>22.241202596515201</v>
      </c>
      <c r="L97" s="194">
        <f t="shared" si="42"/>
        <v>-3.4164673727367756E-2</v>
      </c>
      <c r="M97" s="194"/>
      <c r="N97" s="198">
        <f t="shared" si="43"/>
        <v>-3.4164673727367756E-2</v>
      </c>
    </row>
    <row r="98" spans="1:14" ht="28.5" customHeight="1">
      <c r="A98" s="97"/>
      <c r="B98" s="212"/>
      <c r="C98" s="213"/>
      <c r="D98" s="189"/>
      <c r="E98" s="204"/>
      <c r="F98" s="194">
        <f>239/1542*100</f>
        <v>15.49935149156939</v>
      </c>
      <c r="G98" s="61"/>
      <c r="H98" s="194">
        <f t="shared" si="44"/>
        <v>15.49935149156939</v>
      </c>
      <c r="I98" s="194">
        <f>234/1542*100</f>
        <v>15.175097276264591</v>
      </c>
      <c r="J98" s="25"/>
      <c r="K98" s="77">
        <f t="shared" si="45"/>
        <v>15.175097276264591</v>
      </c>
      <c r="L98" s="194">
        <f t="shared" si="42"/>
        <v>-0.32425421530479959</v>
      </c>
      <c r="M98" s="194"/>
      <c r="N98" s="198">
        <f t="shared" si="43"/>
        <v>-0.32425421530479959</v>
      </c>
    </row>
    <row r="99" spans="1:14" ht="30" customHeight="1">
      <c r="A99" s="98"/>
      <c r="B99" s="214"/>
      <c r="C99" s="215"/>
      <c r="D99" s="189"/>
      <c r="E99" s="205"/>
      <c r="F99" s="194">
        <f>413/1385*100</f>
        <v>29.819494584837546</v>
      </c>
      <c r="G99" s="61"/>
      <c r="H99" s="194">
        <f t="shared" si="44"/>
        <v>29.819494584837546</v>
      </c>
      <c r="I99" s="194">
        <f>417/1385*100</f>
        <v>30.108303249097474</v>
      </c>
      <c r="J99" s="25"/>
      <c r="K99" s="77">
        <f t="shared" si="45"/>
        <v>30.108303249097474</v>
      </c>
      <c r="L99" s="194">
        <f t="shared" si="42"/>
        <v>0.28880866425992835</v>
      </c>
      <c r="M99" s="194"/>
      <c r="N99" s="198">
        <f t="shared" si="43"/>
        <v>0.28880866425992835</v>
      </c>
    </row>
    <row r="100" spans="1:14" ht="28.5" customHeight="1">
      <c r="A100" s="96"/>
      <c r="B100" s="210" t="s">
        <v>106</v>
      </c>
      <c r="C100" s="211"/>
      <c r="D100" s="188" t="s">
        <v>134</v>
      </c>
      <c r="E100" s="203" t="s">
        <v>136</v>
      </c>
      <c r="F100" s="194">
        <f>135/2927*100</f>
        <v>4.6122309531943966</v>
      </c>
      <c r="G100" s="61"/>
      <c r="H100" s="194">
        <f t="shared" si="44"/>
        <v>4.6122309531943966</v>
      </c>
      <c r="I100" s="194">
        <f>135/2927*100</f>
        <v>4.6122309531943966</v>
      </c>
      <c r="J100" s="25"/>
      <c r="K100" s="77">
        <f t="shared" si="45"/>
        <v>4.6122309531943966</v>
      </c>
      <c r="L100" s="194">
        <f t="shared" si="42"/>
        <v>0</v>
      </c>
      <c r="M100" s="194"/>
      <c r="N100" s="198">
        <f t="shared" si="43"/>
        <v>0</v>
      </c>
    </row>
    <row r="101" spans="1:14" ht="28.5" customHeight="1">
      <c r="A101" s="97"/>
      <c r="B101" s="212"/>
      <c r="C101" s="213"/>
      <c r="D101" s="189"/>
      <c r="E101" s="204"/>
      <c r="F101" s="194">
        <f>64/1542*100</f>
        <v>4.1504539559014262</v>
      </c>
      <c r="G101" s="61"/>
      <c r="H101" s="194">
        <f t="shared" si="44"/>
        <v>4.1504539559014262</v>
      </c>
      <c r="I101" s="194">
        <f>64/1542*100</f>
        <v>4.1504539559014262</v>
      </c>
      <c r="J101" s="25"/>
      <c r="K101" s="77">
        <f t="shared" si="45"/>
        <v>4.1504539559014262</v>
      </c>
      <c r="L101" s="194">
        <f t="shared" si="42"/>
        <v>0</v>
      </c>
      <c r="M101" s="194"/>
      <c r="N101" s="198">
        <f t="shared" si="43"/>
        <v>0</v>
      </c>
    </row>
    <row r="102" spans="1:14" ht="29.25" customHeight="1">
      <c r="A102" s="98"/>
      <c r="B102" s="214"/>
      <c r="C102" s="215"/>
      <c r="D102" s="189"/>
      <c r="E102" s="205"/>
      <c r="F102" s="194">
        <f>71/1385*100</f>
        <v>5.1263537906137184</v>
      </c>
      <c r="G102" s="61"/>
      <c r="H102" s="194">
        <f t="shared" si="44"/>
        <v>5.1263537906137184</v>
      </c>
      <c r="I102" s="194">
        <f>71/1385*100</f>
        <v>5.1263537906137184</v>
      </c>
      <c r="J102" s="25"/>
      <c r="K102" s="77">
        <f t="shared" si="45"/>
        <v>5.1263537906137184</v>
      </c>
      <c r="L102" s="194">
        <f t="shared" si="42"/>
        <v>0</v>
      </c>
      <c r="M102" s="194"/>
      <c r="N102" s="198">
        <f t="shared" si="43"/>
        <v>0</v>
      </c>
    </row>
    <row r="103" spans="1:14" ht="28.5" customHeight="1">
      <c r="A103" s="96"/>
      <c r="B103" s="210" t="s">
        <v>107</v>
      </c>
      <c r="C103" s="211"/>
      <c r="D103" s="188" t="s">
        <v>134</v>
      </c>
      <c r="E103" s="203" t="s">
        <v>136</v>
      </c>
      <c r="F103" s="194">
        <f>100/2927*100</f>
        <v>3.4164673727365904</v>
      </c>
      <c r="G103" s="61"/>
      <c r="H103" s="194">
        <f t="shared" si="44"/>
        <v>3.4164673727365904</v>
      </c>
      <c r="I103" s="194">
        <f>92/2927*100</f>
        <v>3.143149982917663</v>
      </c>
      <c r="J103" s="25"/>
      <c r="K103" s="77">
        <f t="shared" si="45"/>
        <v>3.143149982917663</v>
      </c>
      <c r="L103" s="194">
        <f t="shared" si="42"/>
        <v>-0.27331738981892739</v>
      </c>
      <c r="M103" s="194"/>
      <c r="N103" s="198">
        <f t="shared" si="43"/>
        <v>-0.27331738981892739</v>
      </c>
    </row>
    <row r="104" spans="1:14" ht="27.75" customHeight="1">
      <c r="A104" s="97"/>
      <c r="B104" s="212"/>
      <c r="C104" s="213"/>
      <c r="D104" s="189"/>
      <c r="E104" s="204"/>
      <c r="F104" s="194">
        <f>47/1542*100</f>
        <v>3.0479896238651101</v>
      </c>
      <c r="G104" s="61"/>
      <c r="H104" s="194">
        <f t="shared" si="44"/>
        <v>3.0479896238651101</v>
      </c>
      <c r="I104" s="194">
        <f>41/1542*100</f>
        <v>2.6588845654993514</v>
      </c>
      <c r="J104" s="25"/>
      <c r="K104" s="77">
        <f t="shared" si="45"/>
        <v>2.6588845654993514</v>
      </c>
      <c r="L104" s="194">
        <f t="shared" si="42"/>
        <v>-0.3891050583657587</v>
      </c>
      <c r="M104" s="194"/>
      <c r="N104" s="198">
        <f t="shared" si="43"/>
        <v>-0.3891050583657587</v>
      </c>
    </row>
    <row r="105" spans="1:14" ht="30" customHeight="1">
      <c r="A105" s="98"/>
      <c r="B105" s="214"/>
      <c r="C105" s="215"/>
      <c r="D105" s="189"/>
      <c r="E105" s="205"/>
      <c r="F105" s="194">
        <f>53/1385*100</f>
        <v>3.8267148014440435</v>
      </c>
      <c r="G105" s="61"/>
      <c r="H105" s="194">
        <f t="shared" si="44"/>
        <v>3.8267148014440435</v>
      </c>
      <c r="I105" s="194">
        <f>51/1385*100</f>
        <v>3.6823104693140798</v>
      </c>
      <c r="J105" s="25"/>
      <c r="K105" s="77">
        <f t="shared" si="45"/>
        <v>3.6823104693140798</v>
      </c>
      <c r="L105" s="194">
        <f t="shared" si="42"/>
        <v>-0.14440433212996373</v>
      </c>
      <c r="M105" s="194"/>
      <c r="N105" s="198">
        <f t="shared" si="43"/>
        <v>-0.14440433212996373</v>
      </c>
    </row>
    <row r="106" spans="1:14" ht="26.25" customHeight="1">
      <c r="A106" s="96"/>
      <c r="B106" s="210" t="s">
        <v>108</v>
      </c>
      <c r="C106" s="211"/>
      <c r="D106" s="188" t="s">
        <v>134</v>
      </c>
      <c r="E106" s="206" t="s">
        <v>136</v>
      </c>
      <c r="F106" s="194">
        <f>241/2927*100</f>
        <v>8.2336863682951833</v>
      </c>
      <c r="G106" s="61"/>
      <c r="H106" s="194">
        <f t="shared" si="44"/>
        <v>8.2336863682951833</v>
      </c>
      <c r="I106" s="194">
        <f>241/2927*100</f>
        <v>8.2336863682951833</v>
      </c>
      <c r="J106" s="25"/>
      <c r="K106" s="77">
        <f t="shared" si="45"/>
        <v>8.2336863682951833</v>
      </c>
      <c r="L106" s="194">
        <f t="shared" si="42"/>
        <v>0</v>
      </c>
      <c r="M106" s="194"/>
      <c r="N106" s="198">
        <f t="shared" si="43"/>
        <v>0</v>
      </c>
    </row>
    <row r="107" spans="1:14" ht="27" customHeight="1">
      <c r="A107" s="97"/>
      <c r="B107" s="212"/>
      <c r="C107" s="213"/>
      <c r="D107" s="189"/>
      <c r="E107" s="207"/>
      <c r="F107" s="194">
        <f>130/1542*100</f>
        <v>8.4306095979247733</v>
      </c>
      <c r="G107" s="61"/>
      <c r="H107" s="194">
        <f t="shared" si="44"/>
        <v>8.4306095979247733</v>
      </c>
      <c r="I107" s="194">
        <f>132/1542*100</f>
        <v>8.5603112840466924</v>
      </c>
      <c r="J107" s="25"/>
      <c r="K107" s="77">
        <f t="shared" si="45"/>
        <v>8.5603112840466924</v>
      </c>
      <c r="L107" s="194">
        <f t="shared" si="42"/>
        <v>0.12970168612191912</v>
      </c>
      <c r="M107" s="194"/>
      <c r="N107" s="198">
        <f t="shared" si="43"/>
        <v>0.12970168612191912</v>
      </c>
    </row>
    <row r="108" spans="1:14" ht="33.75" customHeight="1">
      <c r="A108" s="98"/>
      <c r="B108" s="214"/>
      <c r="C108" s="215"/>
      <c r="D108" s="190"/>
      <c r="E108" s="208"/>
      <c r="F108" s="194">
        <f>111/1385*100</f>
        <v>8.0144404332129966</v>
      </c>
      <c r="G108" s="61"/>
      <c r="H108" s="194">
        <f t="shared" si="44"/>
        <v>8.0144404332129966</v>
      </c>
      <c r="I108" s="194">
        <f>109/1385*100</f>
        <v>7.8700361010830315</v>
      </c>
      <c r="J108" s="25"/>
      <c r="K108" s="77">
        <f t="shared" si="45"/>
        <v>7.8700361010830315</v>
      </c>
      <c r="L108" s="194">
        <f t="shared" si="42"/>
        <v>-0.14440433212996506</v>
      </c>
      <c r="M108" s="194"/>
      <c r="N108" s="198">
        <f t="shared" si="43"/>
        <v>-0.14440433212996506</v>
      </c>
    </row>
    <row r="109" spans="1:14" ht="29.25" customHeight="1">
      <c r="A109" s="96"/>
      <c r="B109" s="210" t="s">
        <v>109</v>
      </c>
      <c r="C109" s="211"/>
      <c r="D109" s="188" t="s">
        <v>134</v>
      </c>
      <c r="E109" s="203" t="s">
        <v>138</v>
      </c>
      <c r="F109" s="194">
        <f>376/2927*100</f>
        <v>12.84591732148958</v>
      </c>
      <c r="G109" s="61"/>
      <c r="H109" s="194">
        <f t="shared" si="44"/>
        <v>12.84591732148958</v>
      </c>
      <c r="I109" s="194">
        <f>371/2927*100</f>
        <v>12.67509395285275</v>
      </c>
      <c r="J109" s="25"/>
      <c r="K109" s="77">
        <f t="shared" si="45"/>
        <v>12.67509395285275</v>
      </c>
      <c r="L109" s="194">
        <f t="shared" si="42"/>
        <v>-0.1708233686368299</v>
      </c>
      <c r="M109" s="194"/>
      <c r="N109" s="198">
        <f t="shared" si="43"/>
        <v>-0.1708233686368299</v>
      </c>
    </row>
    <row r="110" spans="1:14" ht="30.75" customHeight="1">
      <c r="A110" s="97"/>
      <c r="B110" s="212"/>
      <c r="C110" s="213"/>
      <c r="D110" s="189"/>
      <c r="E110" s="204"/>
      <c r="F110" s="194">
        <f>133/1542*100</f>
        <v>8.625162127107652</v>
      </c>
      <c r="G110" s="61"/>
      <c r="H110" s="194">
        <f t="shared" si="44"/>
        <v>8.625162127107652</v>
      </c>
      <c r="I110" s="194">
        <f>132/1542*100</f>
        <v>8.5603112840466924</v>
      </c>
      <c r="J110" s="25"/>
      <c r="K110" s="77">
        <f t="shared" si="45"/>
        <v>8.5603112840466924</v>
      </c>
      <c r="L110" s="194">
        <f t="shared" si="42"/>
        <v>-6.4850843060959562E-2</v>
      </c>
      <c r="M110" s="194"/>
      <c r="N110" s="198">
        <f t="shared" si="43"/>
        <v>-6.4850843060959562E-2</v>
      </c>
    </row>
    <row r="111" spans="1:14" ht="24.75" customHeight="1">
      <c r="A111" s="98"/>
      <c r="B111" s="214"/>
      <c r="C111" s="215"/>
      <c r="D111" s="190"/>
      <c r="E111" s="205"/>
      <c r="F111" s="194">
        <f>243/1385*100</f>
        <v>17.545126353790614</v>
      </c>
      <c r="G111" s="61"/>
      <c r="H111" s="194">
        <f t="shared" si="44"/>
        <v>17.545126353790614</v>
      </c>
      <c r="I111" s="194">
        <f>239/1385*100</f>
        <v>17.256317689530686</v>
      </c>
      <c r="J111" s="25"/>
      <c r="K111" s="77">
        <f t="shared" si="45"/>
        <v>17.256317689530686</v>
      </c>
      <c r="L111" s="194">
        <f t="shared" si="42"/>
        <v>-0.28880866425992835</v>
      </c>
      <c r="M111" s="194"/>
      <c r="N111" s="198">
        <f t="shared" si="43"/>
        <v>-0.28880866425992835</v>
      </c>
    </row>
    <row r="112" spans="1:14" ht="25.5" customHeight="1">
      <c r="A112" s="96"/>
      <c r="B112" s="210" t="s">
        <v>110</v>
      </c>
      <c r="C112" s="211"/>
      <c r="D112" s="188" t="s">
        <v>134</v>
      </c>
      <c r="E112" s="203" t="s">
        <v>136</v>
      </c>
      <c r="F112" s="194">
        <f>57/2927*100</f>
        <v>1.9473864024598566</v>
      </c>
      <c r="G112" s="61"/>
      <c r="H112" s="194">
        <f t="shared" si="44"/>
        <v>1.9473864024598566</v>
      </c>
      <c r="I112" s="194">
        <f>57/2927*100</f>
        <v>1.9473864024598566</v>
      </c>
      <c r="J112" s="25"/>
      <c r="K112" s="77">
        <f t="shared" si="45"/>
        <v>1.9473864024598566</v>
      </c>
      <c r="L112" s="194">
        <f t="shared" si="42"/>
        <v>0</v>
      </c>
      <c r="M112" s="194"/>
      <c r="N112" s="198">
        <f t="shared" si="43"/>
        <v>0</v>
      </c>
    </row>
    <row r="113" spans="1:14" ht="27" customHeight="1">
      <c r="A113" s="97"/>
      <c r="B113" s="212"/>
      <c r="C113" s="213"/>
      <c r="D113" s="189"/>
      <c r="E113" s="204"/>
      <c r="F113" s="194">
        <f>36/1542*100</f>
        <v>2.3346303501945527</v>
      </c>
      <c r="G113" s="61"/>
      <c r="H113" s="194">
        <f t="shared" si="44"/>
        <v>2.3346303501945527</v>
      </c>
      <c r="I113" s="194">
        <f>36/1542*100</f>
        <v>2.3346303501945527</v>
      </c>
      <c r="J113" s="25"/>
      <c r="K113" s="77">
        <f t="shared" si="45"/>
        <v>2.3346303501945527</v>
      </c>
      <c r="L113" s="194">
        <f t="shared" si="42"/>
        <v>0</v>
      </c>
      <c r="M113" s="194"/>
      <c r="N113" s="198">
        <f t="shared" si="43"/>
        <v>0</v>
      </c>
    </row>
    <row r="114" spans="1:14" ht="33.75" customHeight="1">
      <c r="A114" s="98"/>
      <c r="B114" s="214"/>
      <c r="C114" s="215"/>
      <c r="D114" s="190"/>
      <c r="E114" s="205"/>
      <c r="F114" s="194">
        <f>21/1385*100</f>
        <v>1.5162454873646209</v>
      </c>
      <c r="G114" s="61"/>
      <c r="H114" s="194">
        <f t="shared" si="44"/>
        <v>1.5162454873646209</v>
      </c>
      <c r="I114" s="194">
        <f>21/1385*100</f>
        <v>1.5162454873646209</v>
      </c>
      <c r="J114" s="25"/>
      <c r="K114" s="77">
        <f t="shared" si="45"/>
        <v>1.5162454873646209</v>
      </c>
      <c r="L114" s="194">
        <f t="shared" si="42"/>
        <v>0</v>
      </c>
      <c r="M114" s="194"/>
      <c r="N114" s="198">
        <f t="shared" si="43"/>
        <v>0</v>
      </c>
    </row>
    <row r="115" spans="1:14" ht="24" customHeight="1">
      <c r="A115" s="96"/>
      <c r="B115" s="210" t="s">
        <v>112</v>
      </c>
      <c r="C115" s="211"/>
      <c r="D115" s="191" t="s">
        <v>134</v>
      </c>
      <c r="E115" s="203" t="s">
        <v>136</v>
      </c>
      <c r="F115" s="194">
        <f>45/2927*100</f>
        <v>1.5374103177314655</v>
      </c>
      <c r="G115" s="61"/>
      <c r="H115" s="194">
        <f t="shared" si="44"/>
        <v>1.5374103177314655</v>
      </c>
      <c r="I115" s="194">
        <f>45/2927*100</f>
        <v>1.5374103177314655</v>
      </c>
      <c r="J115" s="25"/>
      <c r="K115" s="77">
        <f t="shared" si="45"/>
        <v>1.5374103177314655</v>
      </c>
      <c r="L115" s="194">
        <f t="shared" si="42"/>
        <v>0</v>
      </c>
      <c r="M115" s="194"/>
      <c r="N115" s="198">
        <f t="shared" si="43"/>
        <v>0</v>
      </c>
    </row>
    <row r="116" spans="1:14" ht="29.25" customHeight="1">
      <c r="A116" s="97"/>
      <c r="B116" s="212"/>
      <c r="C116" s="213"/>
      <c r="D116" s="191"/>
      <c r="E116" s="204"/>
      <c r="F116" s="194">
        <f>22/1542*100</f>
        <v>1.4267185473411155</v>
      </c>
      <c r="G116" s="61"/>
      <c r="H116" s="194">
        <f t="shared" si="44"/>
        <v>1.4267185473411155</v>
      </c>
      <c r="I116" s="194">
        <f>23/1542*100</f>
        <v>1.4915693904020753</v>
      </c>
      <c r="J116" s="25"/>
      <c r="K116" s="77">
        <f t="shared" si="45"/>
        <v>1.4915693904020753</v>
      </c>
      <c r="L116" s="194">
        <f t="shared" si="42"/>
        <v>6.4850843060959784E-2</v>
      </c>
      <c r="M116" s="194"/>
      <c r="N116" s="198">
        <f t="shared" si="43"/>
        <v>6.4850843060959784E-2</v>
      </c>
    </row>
    <row r="117" spans="1:14" ht="31.5" customHeight="1">
      <c r="A117" s="98"/>
      <c r="B117" s="214"/>
      <c r="C117" s="215"/>
      <c r="D117" s="191"/>
      <c r="E117" s="205"/>
      <c r="F117" s="194">
        <f>23/1385*100</f>
        <v>1.6606498194945849</v>
      </c>
      <c r="G117" s="61"/>
      <c r="H117" s="194">
        <f t="shared" si="44"/>
        <v>1.6606498194945849</v>
      </c>
      <c r="I117" s="194">
        <f>22/1385*100</f>
        <v>1.5884476534296028</v>
      </c>
      <c r="J117" s="25"/>
      <c r="K117" s="77">
        <f t="shared" si="45"/>
        <v>1.5884476534296028</v>
      </c>
      <c r="L117" s="194">
        <f t="shared" si="42"/>
        <v>-7.2202166064982087E-2</v>
      </c>
      <c r="M117" s="194"/>
      <c r="N117" s="198">
        <f t="shared" si="43"/>
        <v>-7.2202166064982087E-2</v>
      </c>
    </row>
    <row r="118" spans="1:14" ht="26.25" customHeight="1">
      <c r="A118" s="96"/>
      <c r="B118" s="210" t="s">
        <v>113</v>
      </c>
      <c r="C118" s="211"/>
      <c r="D118" s="191" t="s">
        <v>134</v>
      </c>
      <c r="E118" s="203" t="s">
        <v>136</v>
      </c>
      <c r="F118" s="194">
        <f>144/2927*100</f>
        <v>4.9197130167406904</v>
      </c>
      <c r="G118" s="61"/>
      <c r="H118" s="194">
        <f t="shared" si="44"/>
        <v>4.9197130167406904</v>
      </c>
      <c r="I118" s="194">
        <f>144/2927*100</f>
        <v>4.9197130167406904</v>
      </c>
      <c r="J118" s="25"/>
      <c r="K118" s="77">
        <f t="shared" si="45"/>
        <v>4.9197130167406904</v>
      </c>
      <c r="L118" s="194">
        <f t="shared" si="42"/>
        <v>0</v>
      </c>
      <c r="M118" s="194"/>
      <c r="N118" s="198">
        <f t="shared" si="43"/>
        <v>0</v>
      </c>
    </row>
    <row r="119" spans="1:14" ht="23.25" customHeight="1">
      <c r="A119" s="97"/>
      <c r="B119" s="212"/>
      <c r="C119" s="213"/>
      <c r="D119" s="191"/>
      <c r="E119" s="204"/>
      <c r="F119" s="194">
        <f>50/1542*100</f>
        <v>3.2425421530479901</v>
      </c>
      <c r="G119" s="61"/>
      <c r="H119" s="194">
        <f t="shared" si="44"/>
        <v>3.2425421530479901</v>
      </c>
      <c r="I119" s="194">
        <f>51/1542*100</f>
        <v>3.3073929961089497</v>
      </c>
      <c r="J119" s="25"/>
      <c r="K119" s="77">
        <f t="shared" si="45"/>
        <v>3.3073929961089497</v>
      </c>
      <c r="L119" s="194">
        <f t="shared" si="42"/>
        <v>6.4850843060959562E-2</v>
      </c>
      <c r="M119" s="194"/>
      <c r="N119" s="198">
        <f t="shared" si="43"/>
        <v>6.4850843060959562E-2</v>
      </c>
    </row>
    <row r="120" spans="1:14" ht="34.5" customHeight="1">
      <c r="A120" s="98"/>
      <c r="B120" s="214"/>
      <c r="C120" s="215"/>
      <c r="D120" s="191"/>
      <c r="E120" s="205"/>
      <c r="F120" s="194">
        <f>94/1385*100</f>
        <v>6.7870036101083038</v>
      </c>
      <c r="G120" s="61"/>
      <c r="H120" s="194">
        <f t="shared" si="44"/>
        <v>6.7870036101083038</v>
      </c>
      <c r="I120" s="194">
        <f>93/1385*100</f>
        <v>6.7148014440433208</v>
      </c>
      <c r="J120" s="25"/>
      <c r="K120" s="77">
        <f t="shared" si="45"/>
        <v>6.7148014440433208</v>
      </c>
      <c r="L120" s="194">
        <f t="shared" si="42"/>
        <v>-7.2202166064982976E-2</v>
      </c>
      <c r="M120" s="194"/>
      <c r="N120" s="198">
        <f t="shared" si="43"/>
        <v>-7.2202166064982976E-2</v>
      </c>
    </row>
    <row r="121" spans="1:14" ht="29.25" customHeight="1">
      <c r="A121" s="185"/>
      <c r="B121" s="210" t="s">
        <v>132</v>
      </c>
      <c r="C121" s="211"/>
      <c r="D121" s="188" t="s">
        <v>134</v>
      </c>
      <c r="E121" s="203" t="s">
        <v>136</v>
      </c>
      <c r="F121" s="194">
        <f>75/2927*100</f>
        <v>2.5623505295524431</v>
      </c>
      <c r="G121" s="61"/>
      <c r="H121" s="194">
        <f t="shared" si="44"/>
        <v>2.5623505295524431</v>
      </c>
      <c r="I121" s="194">
        <f>75/2927*100</f>
        <v>2.5623505295524431</v>
      </c>
      <c r="J121" s="25"/>
      <c r="K121" s="77">
        <f t="shared" si="45"/>
        <v>2.5623505295524431</v>
      </c>
      <c r="L121" s="194">
        <f t="shared" si="42"/>
        <v>0</v>
      </c>
      <c r="M121" s="194"/>
      <c r="N121" s="198">
        <f t="shared" si="43"/>
        <v>0</v>
      </c>
    </row>
    <row r="122" spans="1:14" ht="26.25" customHeight="1">
      <c r="A122" s="186"/>
      <c r="B122" s="212"/>
      <c r="C122" s="213"/>
      <c r="D122" s="189"/>
      <c r="E122" s="204"/>
      <c r="F122" s="194">
        <f>36/1542*100</f>
        <v>2.3346303501945527</v>
      </c>
      <c r="G122" s="61"/>
      <c r="H122" s="194">
        <f t="shared" si="44"/>
        <v>2.3346303501945527</v>
      </c>
      <c r="I122" s="194">
        <f>36/1542*100</f>
        <v>2.3346303501945527</v>
      </c>
      <c r="J122" s="25"/>
      <c r="K122" s="77">
        <f t="shared" si="45"/>
        <v>2.3346303501945527</v>
      </c>
      <c r="L122" s="194">
        <f t="shared" si="42"/>
        <v>0</v>
      </c>
      <c r="M122" s="194"/>
      <c r="N122" s="198">
        <f t="shared" si="43"/>
        <v>0</v>
      </c>
    </row>
    <row r="123" spans="1:14" ht="30.75" customHeight="1">
      <c r="A123" s="187"/>
      <c r="B123" s="214"/>
      <c r="C123" s="215"/>
      <c r="D123" s="190"/>
      <c r="E123" s="205"/>
      <c r="F123" s="194">
        <f>39/1385*100</f>
        <v>2.8158844765342961</v>
      </c>
      <c r="G123" s="61"/>
      <c r="H123" s="194">
        <f t="shared" si="44"/>
        <v>2.8158844765342961</v>
      </c>
      <c r="I123" s="194">
        <f>39/1385*100</f>
        <v>2.8158844765342961</v>
      </c>
      <c r="J123" s="25"/>
      <c r="K123" s="77">
        <f t="shared" si="45"/>
        <v>2.8158844765342961</v>
      </c>
      <c r="L123" s="194">
        <f t="shared" si="42"/>
        <v>0</v>
      </c>
      <c r="M123" s="194"/>
      <c r="N123" s="198">
        <f t="shared" si="43"/>
        <v>0</v>
      </c>
    </row>
    <row r="124" spans="1:14" ht="29.25" customHeight="1">
      <c r="A124" s="96"/>
      <c r="B124" s="210" t="s">
        <v>115</v>
      </c>
      <c r="C124" s="211"/>
      <c r="D124" s="188" t="s">
        <v>134</v>
      </c>
      <c r="E124" s="203" t="s">
        <v>138</v>
      </c>
      <c r="F124" s="194"/>
      <c r="G124" s="61"/>
      <c r="H124" s="194">
        <f t="shared" si="44"/>
        <v>0</v>
      </c>
      <c r="I124" s="194">
        <f>9/2927*100</f>
        <v>0.30748206354629315</v>
      </c>
      <c r="J124" s="25"/>
      <c r="K124" s="77">
        <f t="shared" si="45"/>
        <v>0.30748206354629315</v>
      </c>
      <c r="L124" s="194">
        <f t="shared" si="42"/>
        <v>0.30748206354629315</v>
      </c>
      <c r="M124" s="194"/>
      <c r="N124" s="198">
        <f t="shared" si="43"/>
        <v>0.30748206354629315</v>
      </c>
    </row>
    <row r="125" spans="1:14" ht="27.75" customHeight="1">
      <c r="A125" s="97"/>
      <c r="B125" s="212"/>
      <c r="C125" s="213"/>
      <c r="D125" s="189"/>
      <c r="E125" s="204"/>
      <c r="F125" s="194"/>
      <c r="G125" s="61"/>
      <c r="H125" s="194">
        <f t="shared" si="44"/>
        <v>0</v>
      </c>
      <c r="I125" s="194">
        <f>3/1542*100</f>
        <v>0.19455252918287938</v>
      </c>
      <c r="J125" s="25"/>
      <c r="K125" s="77">
        <f t="shared" si="45"/>
        <v>0.19455252918287938</v>
      </c>
      <c r="L125" s="194">
        <f t="shared" si="42"/>
        <v>0.19455252918287938</v>
      </c>
      <c r="M125" s="194"/>
      <c r="N125" s="198">
        <f t="shared" si="43"/>
        <v>0.19455252918287938</v>
      </c>
    </row>
    <row r="126" spans="1:14" ht="28.5" customHeight="1">
      <c r="A126" s="98"/>
      <c r="B126" s="214"/>
      <c r="C126" s="215"/>
      <c r="D126" s="190"/>
      <c r="E126" s="205"/>
      <c r="F126" s="194"/>
      <c r="G126" s="61"/>
      <c r="H126" s="194">
        <f t="shared" si="44"/>
        <v>0</v>
      </c>
      <c r="I126" s="194">
        <f>6/1385*100</f>
        <v>0.43321299638989169</v>
      </c>
      <c r="J126" s="25"/>
      <c r="K126" s="77">
        <f t="shared" si="45"/>
        <v>0.43321299638989169</v>
      </c>
      <c r="L126" s="194">
        <f t="shared" si="42"/>
        <v>0.43321299638989169</v>
      </c>
      <c r="M126" s="194"/>
      <c r="N126" s="198">
        <f t="shared" si="43"/>
        <v>0.43321299638989169</v>
      </c>
    </row>
    <row r="127" spans="1:14" ht="84" customHeight="1">
      <c r="A127" s="60"/>
      <c r="B127" s="132" t="s">
        <v>133</v>
      </c>
      <c r="C127" s="134"/>
      <c r="D127" s="58" t="s">
        <v>134</v>
      </c>
      <c r="E127" s="209" t="s">
        <v>137</v>
      </c>
      <c r="F127" s="61">
        <v>0</v>
      </c>
      <c r="G127" s="61"/>
      <c r="H127" s="61">
        <v>0</v>
      </c>
      <c r="I127" s="25">
        <v>5.8</v>
      </c>
      <c r="J127" s="25"/>
      <c r="K127" s="25">
        <f>SUM(I127:J127)</f>
        <v>5.8</v>
      </c>
      <c r="L127" s="194">
        <f t="shared" ref="L127" si="46">I127-F127</f>
        <v>5.8</v>
      </c>
      <c r="M127" s="194"/>
      <c r="N127" s="198">
        <f t="shared" ref="N127" si="47">SUM(L127:M127)</f>
        <v>5.8</v>
      </c>
    </row>
    <row r="128" spans="1:14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ht="15.75">
      <c r="B131" s="136" t="s">
        <v>243</v>
      </c>
      <c r="C131" s="136"/>
      <c r="D131" s="136"/>
      <c r="E131" s="2"/>
      <c r="F131" s="2"/>
      <c r="G131" s="2"/>
      <c r="H131" s="4"/>
      <c r="I131" s="137" t="s">
        <v>45</v>
      </c>
      <c r="J131" s="137"/>
      <c r="K131" s="2"/>
      <c r="L131" s="2"/>
      <c r="M131" s="2"/>
    </row>
    <row r="132" spans="2:13" ht="15.75">
      <c r="B132" s="6" t="s">
        <v>43</v>
      </c>
      <c r="C132" s="6"/>
      <c r="D132" s="2"/>
      <c r="E132" s="2"/>
      <c r="F132" s="2"/>
      <c r="G132" s="2"/>
      <c r="H132" s="2" t="s">
        <v>44</v>
      </c>
      <c r="I132" s="2"/>
      <c r="J132" s="2"/>
      <c r="K132" s="2"/>
      <c r="L132" s="2"/>
      <c r="M132" s="2"/>
    </row>
    <row r="133" spans="2:13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ht="15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</sheetData>
  <mergeCells count="142">
    <mergeCell ref="B127:C127"/>
    <mergeCell ref="D124:D126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D109:D111"/>
    <mergeCell ref="D112:D114"/>
    <mergeCell ref="D115:D117"/>
    <mergeCell ref="D118:D120"/>
    <mergeCell ref="D121:D123"/>
    <mergeCell ref="D94:D96"/>
    <mergeCell ref="D97:D99"/>
    <mergeCell ref="D100:D102"/>
    <mergeCell ref="D103:D105"/>
    <mergeCell ref="D106:D108"/>
    <mergeCell ref="B112:C114"/>
    <mergeCell ref="A115:A117"/>
    <mergeCell ref="B115:C117"/>
    <mergeCell ref="A118:A120"/>
    <mergeCell ref="B118:C120"/>
    <mergeCell ref="A121:A123"/>
    <mergeCell ref="B121:C123"/>
    <mergeCell ref="A124:A126"/>
    <mergeCell ref="B124:C126"/>
    <mergeCell ref="L18:N18"/>
    <mergeCell ref="B20:H20"/>
    <mergeCell ref="B21:C21"/>
    <mergeCell ref="B22:C22"/>
    <mergeCell ref="B23:C23"/>
    <mergeCell ref="D6:J6"/>
    <mergeCell ref="C9:J9"/>
    <mergeCell ref="B10:K10"/>
    <mergeCell ref="B18:C19"/>
    <mergeCell ref="D18:D19"/>
    <mergeCell ref="E18:E19"/>
    <mergeCell ref="F18:H18"/>
    <mergeCell ref="B131:D131"/>
    <mergeCell ref="I131:J131"/>
    <mergeCell ref="B24:C24"/>
    <mergeCell ref="B25:C25"/>
    <mergeCell ref="B26:C26"/>
    <mergeCell ref="B27:C27"/>
    <mergeCell ref="B28:C28"/>
    <mergeCell ref="B29:C29"/>
    <mergeCell ref="C14:K14"/>
    <mergeCell ref="D30:D32"/>
    <mergeCell ref="D33:D35"/>
    <mergeCell ref="D36:D38"/>
    <mergeCell ref="A30:A32"/>
    <mergeCell ref="A33:A35"/>
    <mergeCell ref="A36:A38"/>
    <mergeCell ref="E36:E38"/>
    <mergeCell ref="I18:K18"/>
    <mergeCell ref="A18:A19"/>
    <mergeCell ref="B94:C96"/>
    <mergeCell ref="A94:A96"/>
    <mergeCell ref="A97:A99"/>
    <mergeCell ref="B97:C99"/>
    <mergeCell ref="A100:A102"/>
    <mergeCell ref="B100:C102"/>
    <mergeCell ref="A103:A105"/>
    <mergeCell ref="B103:C105"/>
    <mergeCell ref="A106:A108"/>
    <mergeCell ref="B106:C108"/>
    <mergeCell ref="A109:A111"/>
    <mergeCell ref="B109:C111"/>
    <mergeCell ref="A112:A114"/>
    <mergeCell ref="E30:E32"/>
    <mergeCell ref="B30:C32"/>
    <mergeCell ref="B33:C35"/>
    <mergeCell ref="E33:E35"/>
    <mergeCell ref="B36:C38"/>
    <mergeCell ref="D39:D41"/>
    <mergeCell ref="D42:D44"/>
    <mergeCell ref="D45:D47"/>
    <mergeCell ref="D48:D50"/>
    <mergeCell ref="B39:C41"/>
    <mergeCell ref="A39:A41"/>
    <mergeCell ref="E39:E41"/>
    <mergeCell ref="B42:C44"/>
    <mergeCell ref="A42:A44"/>
    <mergeCell ref="E42:E44"/>
    <mergeCell ref="D57:D59"/>
    <mergeCell ref="D60:D62"/>
    <mergeCell ref="D63:D65"/>
    <mergeCell ref="D51:D53"/>
    <mergeCell ref="D54:D56"/>
    <mergeCell ref="B51:C53"/>
    <mergeCell ref="A51:A53"/>
    <mergeCell ref="E51:E53"/>
    <mergeCell ref="B54:C56"/>
    <mergeCell ref="A54:A56"/>
    <mergeCell ref="E54:E56"/>
    <mergeCell ref="B45:C47"/>
    <mergeCell ref="A45:A47"/>
    <mergeCell ref="E45:E47"/>
    <mergeCell ref="B48:C50"/>
    <mergeCell ref="A48:A50"/>
    <mergeCell ref="E48:E50"/>
    <mergeCell ref="B63:C65"/>
    <mergeCell ref="A63:A65"/>
    <mergeCell ref="E63:E65"/>
    <mergeCell ref="B57:C59"/>
    <mergeCell ref="A57:A59"/>
    <mergeCell ref="E57:E59"/>
    <mergeCell ref="B60:C62"/>
    <mergeCell ref="A60:A62"/>
    <mergeCell ref="E60:E62"/>
    <mergeCell ref="B73:C73"/>
    <mergeCell ref="B74:C74"/>
    <mergeCell ref="B75:C75"/>
    <mergeCell ref="B76:C76"/>
    <mergeCell ref="B77:C77"/>
    <mergeCell ref="B78:C78"/>
    <mergeCell ref="B66:C66"/>
    <mergeCell ref="B67:C67"/>
    <mergeCell ref="B68:C68"/>
    <mergeCell ref="B69:C69"/>
    <mergeCell ref="B70:C70"/>
    <mergeCell ref="B71:C71"/>
    <mergeCell ref="B72:C72"/>
    <mergeCell ref="B92:C92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opLeftCell="A7" workbookViewId="0">
      <selection activeCell="L17" sqref="L17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7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175" t="s">
        <v>52</v>
      </c>
      <c r="C7" s="175"/>
      <c r="D7" s="175"/>
      <c r="E7" s="175"/>
      <c r="F7" s="175"/>
      <c r="G7" s="175"/>
      <c r="H7" s="175"/>
      <c r="I7" s="175"/>
      <c r="J7" s="175"/>
      <c r="K7" s="175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32.25" customHeight="1">
      <c r="B14" s="55">
        <v>1011020</v>
      </c>
      <c r="C14" s="216" t="s">
        <v>29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2:13" ht="15.75">
      <c r="B15" s="276" t="s">
        <v>248</v>
      </c>
      <c r="C15" s="276"/>
      <c r="D15" s="276"/>
      <c r="E15" s="276"/>
      <c r="F15" s="276"/>
      <c r="G15" s="276"/>
      <c r="H15" s="1"/>
      <c r="I15" s="1"/>
      <c r="J15" s="2"/>
      <c r="K15" s="2"/>
      <c r="L15" s="2"/>
      <c r="M15" s="2"/>
    </row>
    <row r="16" spans="2:13" ht="16.5" customHeight="1">
      <c r="B16" s="276" t="s">
        <v>6</v>
      </c>
      <c r="C16" s="276"/>
      <c r="D16" s="276"/>
      <c r="E16" s="276"/>
      <c r="F16" s="276"/>
      <c r="G16" s="276"/>
      <c r="H16" s="1"/>
      <c r="I16" s="1"/>
      <c r="J16" s="2"/>
      <c r="K16" s="2"/>
      <c r="L16" s="2"/>
      <c r="M16" s="2"/>
    </row>
    <row r="17" spans="1:14" ht="15.75">
      <c r="B17" s="276"/>
      <c r="C17" s="276"/>
      <c r="D17" s="276"/>
      <c r="E17" s="276"/>
      <c r="F17" s="276"/>
      <c r="G17" s="276"/>
      <c r="H17" s="2"/>
      <c r="I17" s="2"/>
      <c r="J17" s="2"/>
      <c r="K17" s="2"/>
      <c r="L17" s="276"/>
      <c r="M17" s="2"/>
    </row>
    <row r="18" spans="1:14" ht="39.75" customHeight="1">
      <c r="A18" s="278" t="s">
        <v>59</v>
      </c>
      <c r="B18" s="154" t="s">
        <v>60</v>
      </c>
      <c r="C18" s="155"/>
      <c r="D18" s="192" t="s">
        <v>61</v>
      </c>
      <c r="E18" s="192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4" t="s">
        <v>66</v>
      </c>
      <c r="M18" s="145"/>
      <c r="N18" s="146"/>
    </row>
    <row r="19" spans="1:14" ht="26.25" customHeight="1">
      <c r="A19" s="279"/>
      <c r="B19" s="156"/>
      <c r="C19" s="157"/>
      <c r="D19" s="193"/>
      <c r="E19" s="193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15.75" customHeight="1">
      <c r="A20" s="60"/>
      <c r="B20" s="132" t="s">
        <v>67</v>
      </c>
      <c r="C20" s="133"/>
      <c r="D20" s="133"/>
      <c r="E20" s="133"/>
      <c r="F20" s="133"/>
      <c r="G20" s="133"/>
      <c r="H20" s="134"/>
      <c r="I20" s="61"/>
      <c r="J20" s="62"/>
      <c r="K20" s="62"/>
      <c r="L20" s="62"/>
      <c r="M20" s="62"/>
      <c r="N20" s="14"/>
    </row>
    <row r="21" spans="1:14" ht="15.75" customHeight="1">
      <c r="A21" s="60">
        <v>1</v>
      </c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15.75" customHeight="1">
      <c r="A22" s="60"/>
      <c r="B22" s="132" t="s">
        <v>69</v>
      </c>
      <c r="C22" s="134"/>
      <c r="D22" s="18" t="s">
        <v>70</v>
      </c>
      <c r="E22" s="61" t="s">
        <v>71</v>
      </c>
      <c r="F22" s="61">
        <v>24</v>
      </c>
      <c r="G22" s="18"/>
      <c r="H22" s="59">
        <f>SUM(F22:G22)</f>
        <v>24</v>
      </c>
      <c r="I22" s="61">
        <v>24</v>
      </c>
      <c r="J22" s="62"/>
      <c r="K22" s="61">
        <f>SUM(I22:J22)</f>
        <v>24</v>
      </c>
      <c r="L22" s="61">
        <f>I22-F22</f>
        <v>0</v>
      </c>
      <c r="M22" s="61"/>
      <c r="N22" s="64">
        <f>SUM(L22:M22)</f>
        <v>0</v>
      </c>
    </row>
    <row r="23" spans="1:14" ht="15.75" customHeight="1">
      <c r="A23" s="60"/>
      <c r="B23" s="132" t="s">
        <v>72</v>
      </c>
      <c r="C23" s="134"/>
      <c r="D23" s="18" t="s">
        <v>70</v>
      </c>
      <c r="E23" s="61" t="s">
        <v>71</v>
      </c>
      <c r="F23" s="61"/>
      <c r="G23" s="61"/>
      <c r="H23" s="59">
        <f t="shared" ref="H23:H34" si="0">SUM(F23:G23)</f>
        <v>0</v>
      </c>
      <c r="I23" s="61"/>
      <c r="J23" s="62"/>
      <c r="K23" s="61">
        <f t="shared" ref="K23:K34" si="1">SUM(I23:J23)</f>
        <v>0</v>
      </c>
      <c r="L23" s="61">
        <f t="shared" ref="L23:L34" si="2">I23-F23</f>
        <v>0</v>
      </c>
      <c r="M23" s="61"/>
      <c r="N23" s="64">
        <f t="shared" ref="N23:N34" si="3">SUM(L23:M23)</f>
        <v>0</v>
      </c>
    </row>
    <row r="24" spans="1:14" ht="15.75" customHeight="1">
      <c r="A24" s="60"/>
      <c r="B24" s="160" t="s">
        <v>73</v>
      </c>
      <c r="C24" s="161"/>
      <c r="D24" s="18" t="s">
        <v>70</v>
      </c>
      <c r="E24" s="61" t="s">
        <v>71</v>
      </c>
      <c r="F24" s="21">
        <v>5</v>
      </c>
      <c r="G24" s="15"/>
      <c r="H24" s="59">
        <f t="shared" si="0"/>
        <v>5</v>
      </c>
      <c r="I24" s="15">
        <v>5</v>
      </c>
      <c r="J24" s="15"/>
      <c r="K24" s="61">
        <f t="shared" si="1"/>
        <v>5</v>
      </c>
      <c r="L24" s="61">
        <f t="shared" si="2"/>
        <v>0</v>
      </c>
      <c r="M24" s="61"/>
      <c r="N24" s="64">
        <f t="shared" si="3"/>
        <v>0</v>
      </c>
    </row>
    <row r="25" spans="1:14" ht="15.75" customHeight="1">
      <c r="A25" s="60"/>
      <c r="B25" s="160" t="s">
        <v>74</v>
      </c>
      <c r="C25" s="161"/>
      <c r="D25" s="18" t="s">
        <v>70</v>
      </c>
      <c r="E25" s="61" t="s">
        <v>71</v>
      </c>
      <c r="F25" s="21">
        <v>19</v>
      </c>
      <c r="G25" s="15"/>
      <c r="H25" s="59">
        <f t="shared" si="0"/>
        <v>19</v>
      </c>
      <c r="I25" s="15">
        <v>19</v>
      </c>
      <c r="J25" s="15"/>
      <c r="K25" s="61">
        <f t="shared" si="1"/>
        <v>19</v>
      </c>
      <c r="L25" s="61">
        <f t="shared" si="2"/>
        <v>0</v>
      </c>
      <c r="M25" s="61"/>
      <c r="N25" s="64">
        <f t="shared" si="3"/>
        <v>0</v>
      </c>
    </row>
    <row r="26" spans="1:14" ht="15.75" customHeight="1">
      <c r="A26" s="60"/>
      <c r="B26" s="160" t="s">
        <v>75</v>
      </c>
      <c r="C26" s="161"/>
      <c r="D26" s="18" t="s">
        <v>70</v>
      </c>
      <c r="E26" s="61" t="s">
        <v>71</v>
      </c>
      <c r="F26" s="21">
        <v>247</v>
      </c>
      <c r="G26" s="21"/>
      <c r="H26" s="59">
        <f t="shared" si="0"/>
        <v>247</v>
      </c>
      <c r="I26" s="21">
        <v>247</v>
      </c>
      <c r="J26" s="21"/>
      <c r="K26" s="61">
        <f t="shared" si="1"/>
        <v>247</v>
      </c>
      <c r="L26" s="61">
        <f t="shared" si="2"/>
        <v>0</v>
      </c>
      <c r="M26" s="61"/>
      <c r="N26" s="64">
        <f t="shared" si="3"/>
        <v>0</v>
      </c>
    </row>
    <row r="27" spans="1:14" ht="15.75" customHeight="1">
      <c r="A27" s="60"/>
      <c r="B27" s="132" t="s">
        <v>72</v>
      </c>
      <c r="C27" s="134"/>
      <c r="D27" s="18" t="s">
        <v>70</v>
      </c>
      <c r="E27" s="61" t="s">
        <v>71</v>
      </c>
      <c r="F27" s="21"/>
      <c r="G27" s="21"/>
      <c r="H27" s="59"/>
      <c r="I27" s="21"/>
      <c r="J27" s="21"/>
      <c r="K27" s="61"/>
      <c r="L27" s="61"/>
      <c r="M27" s="61"/>
      <c r="N27" s="64">
        <f t="shared" si="3"/>
        <v>0</v>
      </c>
    </row>
    <row r="28" spans="1:14" ht="15.75" customHeight="1">
      <c r="A28" s="60"/>
      <c r="B28" s="160" t="s">
        <v>73</v>
      </c>
      <c r="C28" s="161"/>
      <c r="D28" s="18" t="s">
        <v>70</v>
      </c>
      <c r="E28" s="61" t="s">
        <v>71</v>
      </c>
      <c r="F28" s="21">
        <v>41</v>
      </c>
      <c r="G28" s="21"/>
      <c r="H28" s="59">
        <f t="shared" ref="H28:H29" si="4">SUM(F28:G28)</f>
        <v>41</v>
      </c>
      <c r="I28" s="21">
        <v>41</v>
      </c>
      <c r="J28" s="21"/>
      <c r="K28" s="61">
        <f t="shared" ref="K28:K29" si="5">SUM(I28:J28)</f>
        <v>41</v>
      </c>
      <c r="L28" s="61">
        <f t="shared" ref="L28:L29" si="6">I28-F28</f>
        <v>0</v>
      </c>
      <c r="M28" s="61"/>
      <c r="N28" s="64">
        <f t="shared" ref="N28:N29" si="7">SUM(L28:M28)</f>
        <v>0</v>
      </c>
    </row>
    <row r="29" spans="1:14" ht="15.75" customHeight="1">
      <c r="A29" s="60"/>
      <c r="B29" s="160" t="s">
        <v>74</v>
      </c>
      <c r="C29" s="161"/>
      <c r="D29" s="18" t="s">
        <v>70</v>
      </c>
      <c r="E29" s="61" t="s">
        <v>71</v>
      </c>
      <c r="F29" s="21">
        <v>206</v>
      </c>
      <c r="G29" s="21"/>
      <c r="H29" s="59">
        <f t="shared" si="4"/>
        <v>206</v>
      </c>
      <c r="I29" s="21">
        <v>206</v>
      </c>
      <c r="J29" s="21"/>
      <c r="K29" s="61">
        <f t="shared" si="5"/>
        <v>206</v>
      </c>
      <c r="L29" s="61">
        <f t="shared" si="6"/>
        <v>0</v>
      </c>
      <c r="M29" s="61"/>
      <c r="N29" s="64">
        <f t="shared" si="7"/>
        <v>0</v>
      </c>
    </row>
    <row r="30" spans="1:14" ht="30" customHeight="1">
      <c r="A30" s="60"/>
      <c r="B30" s="138" t="s">
        <v>76</v>
      </c>
      <c r="C30" s="139"/>
      <c r="D30" s="18" t="s">
        <v>70</v>
      </c>
      <c r="E30" s="61" t="s">
        <v>77</v>
      </c>
      <c r="F30" s="78">
        <v>424.7</v>
      </c>
      <c r="G30" s="79"/>
      <c r="H30" s="76">
        <f t="shared" si="0"/>
        <v>424.7</v>
      </c>
      <c r="I30" s="65">
        <v>424.53</v>
      </c>
      <c r="J30" s="65"/>
      <c r="K30" s="61">
        <f t="shared" si="1"/>
        <v>424.53</v>
      </c>
      <c r="L30" s="61">
        <f t="shared" si="2"/>
        <v>-0.17000000000001592</v>
      </c>
      <c r="M30" s="61"/>
      <c r="N30" s="64">
        <f t="shared" si="3"/>
        <v>-0.17000000000001592</v>
      </c>
    </row>
    <row r="31" spans="1:14" ht="44.25" customHeight="1">
      <c r="A31" s="60"/>
      <c r="B31" s="138" t="s">
        <v>78</v>
      </c>
      <c r="C31" s="139"/>
      <c r="D31" s="18" t="s">
        <v>70</v>
      </c>
      <c r="E31" s="61" t="s">
        <v>77</v>
      </c>
      <c r="F31" s="25">
        <v>126.92</v>
      </c>
      <c r="G31" s="65"/>
      <c r="H31" s="76">
        <f t="shared" si="0"/>
        <v>126.92</v>
      </c>
      <c r="I31" s="25">
        <v>129.77000000000001</v>
      </c>
      <c r="J31" s="25"/>
      <c r="K31" s="61">
        <f t="shared" si="1"/>
        <v>129.77000000000001</v>
      </c>
      <c r="L31" s="61">
        <f t="shared" si="2"/>
        <v>2.8500000000000085</v>
      </c>
      <c r="M31" s="61"/>
      <c r="N31" s="64">
        <f t="shared" si="3"/>
        <v>2.8500000000000085</v>
      </c>
    </row>
    <row r="32" spans="1:14" ht="30" customHeight="1">
      <c r="A32" s="60"/>
      <c r="B32" s="138" t="s">
        <v>79</v>
      </c>
      <c r="C32" s="139"/>
      <c r="D32" s="18" t="s">
        <v>70</v>
      </c>
      <c r="E32" s="61" t="s">
        <v>77</v>
      </c>
      <c r="F32" s="78">
        <v>28</v>
      </c>
      <c r="G32" s="78"/>
      <c r="H32" s="76">
        <f t="shared" si="0"/>
        <v>28</v>
      </c>
      <c r="I32" s="25">
        <v>28.33</v>
      </c>
      <c r="J32" s="25"/>
      <c r="K32" s="61">
        <f t="shared" si="1"/>
        <v>28.33</v>
      </c>
      <c r="L32" s="61">
        <f t="shared" si="2"/>
        <v>0.32999999999999829</v>
      </c>
      <c r="M32" s="61"/>
      <c r="N32" s="64">
        <f t="shared" si="3"/>
        <v>0.32999999999999829</v>
      </c>
    </row>
    <row r="33" spans="1:14" ht="30" customHeight="1">
      <c r="A33" s="60"/>
      <c r="B33" s="140" t="s">
        <v>80</v>
      </c>
      <c r="C33" s="141"/>
      <c r="D33" s="18" t="s">
        <v>70</v>
      </c>
      <c r="E33" s="61" t="s">
        <v>77</v>
      </c>
      <c r="F33" s="25">
        <v>287.85000000000002</v>
      </c>
      <c r="G33" s="65"/>
      <c r="H33" s="76">
        <f t="shared" si="0"/>
        <v>287.85000000000002</v>
      </c>
      <c r="I33" s="25">
        <v>287.60000000000002</v>
      </c>
      <c r="J33" s="25"/>
      <c r="K33" s="61">
        <f t="shared" si="1"/>
        <v>287.60000000000002</v>
      </c>
      <c r="L33" s="61">
        <f t="shared" si="2"/>
        <v>-0.25</v>
      </c>
      <c r="M33" s="61"/>
      <c r="N33" s="64">
        <f t="shared" si="3"/>
        <v>-0.25</v>
      </c>
    </row>
    <row r="34" spans="1:14" ht="28.5" customHeight="1">
      <c r="A34" s="60"/>
      <c r="B34" s="140" t="s">
        <v>81</v>
      </c>
      <c r="C34" s="141"/>
      <c r="D34" s="18" t="s">
        <v>70</v>
      </c>
      <c r="E34" s="61" t="s">
        <v>77</v>
      </c>
      <c r="F34" s="25">
        <f>SUM(F30:F33)</f>
        <v>867.47</v>
      </c>
      <c r="G34" s="65"/>
      <c r="H34" s="76">
        <f t="shared" si="0"/>
        <v>867.47</v>
      </c>
      <c r="I34" s="25">
        <f>SUM(I30:I33)</f>
        <v>870.23</v>
      </c>
      <c r="J34" s="25"/>
      <c r="K34" s="61">
        <f t="shared" si="1"/>
        <v>870.23</v>
      </c>
      <c r="L34" s="61">
        <f t="shared" si="2"/>
        <v>2.7599999999999909</v>
      </c>
      <c r="M34" s="61"/>
      <c r="N34" s="64">
        <f t="shared" si="3"/>
        <v>2.7599999999999909</v>
      </c>
    </row>
    <row r="35" spans="1:14">
      <c r="A35" s="60">
        <v>2</v>
      </c>
      <c r="B35" s="142" t="s">
        <v>82</v>
      </c>
      <c r="C35" s="143"/>
      <c r="D35" s="15"/>
      <c r="E35" s="15"/>
      <c r="F35" s="65"/>
      <c r="G35" s="65"/>
      <c r="H35" s="65"/>
      <c r="I35" s="65"/>
      <c r="J35" s="65"/>
      <c r="K35" s="65"/>
      <c r="L35" s="61"/>
      <c r="M35" s="61"/>
      <c r="N35" s="64"/>
    </row>
    <row r="36" spans="1:14" ht="92.25" customHeight="1">
      <c r="A36" s="60"/>
      <c r="B36" s="130" t="s">
        <v>83</v>
      </c>
      <c r="C36" s="131"/>
      <c r="D36" s="61" t="s">
        <v>85</v>
      </c>
      <c r="E36" s="67" t="s">
        <v>86</v>
      </c>
      <c r="F36" s="70">
        <v>2927</v>
      </c>
      <c r="G36" s="70"/>
      <c r="H36" s="71">
        <f>SUM(F36:G36)</f>
        <v>2927</v>
      </c>
      <c r="I36" s="70">
        <f>(2945*8+2891*4)/12</f>
        <v>2927</v>
      </c>
      <c r="J36" s="65"/>
      <c r="K36" s="69">
        <f>SUM(I36:J36)</f>
        <v>2927</v>
      </c>
      <c r="L36" s="61">
        <f t="shared" ref="L36" si="8">I36-F36</f>
        <v>0</v>
      </c>
      <c r="M36" s="61"/>
      <c r="N36" s="64">
        <f t="shared" ref="N36" si="9">SUM(L36:M36)</f>
        <v>0</v>
      </c>
    </row>
    <row r="37" spans="1:14" ht="27" customHeight="1">
      <c r="A37" s="60"/>
      <c r="B37" s="132" t="s">
        <v>84</v>
      </c>
      <c r="C37" s="133"/>
      <c r="D37" s="58" t="s">
        <v>87</v>
      </c>
      <c r="E37" s="57" t="s">
        <v>88</v>
      </c>
      <c r="F37" s="66">
        <v>485882</v>
      </c>
      <c r="G37" s="66"/>
      <c r="H37" s="66">
        <f>SUM(F37:G37)</f>
        <v>485882</v>
      </c>
      <c r="I37" s="66">
        <v>423268</v>
      </c>
      <c r="J37" s="72"/>
      <c r="K37" s="25">
        <f>SUM(I37:J37)</f>
        <v>423268</v>
      </c>
      <c r="L37" s="61">
        <f t="shared" ref="L37" si="10">I37-F37</f>
        <v>-62614</v>
      </c>
      <c r="M37" s="61"/>
      <c r="N37" s="64">
        <f t="shared" ref="N37" si="11">SUM(L37:M37)</f>
        <v>-62614</v>
      </c>
    </row>
    <row r="38" spans="1:14" ht="15" customHeight="1">
      <c r="A38" s="60">
        <v>3</v>
      </c>
      <c r="B38" s="132" t="s">
        <v>89</v>
      </c>
      <c r="C38" s="134"/>
      <c r="D38" s="63"/>
      <c r="E38" s="63"/>
      <c r="F38" s="63"/>
      <c r="G38" s="63"/>
      <c r="H38" s="63"/>
      <c r="I38" s="63"/>
      <c r="J38" s="58"/>
      <c r="K38" s="57"/>
      <c r="L38" s="57"/>
      <c r="M38" s="61"/>
      <c r="N38" s="61"/>
    </row>
    <row r="39" spans="1:14" ht="43.5" customHeight="1">
      <c r="A39" s="60"/>
      <c r="B39" s="135" t="s">
        <v>90</v>
      </c>
      <c r="C39" s="135"/>
      <c r="D39" s="58" t="s">
        <v>87</v>
      </c>
      <c r="E39" s="73" t="s">
        <v>91</v>
      </c>
      <c r="F39" s="61">
        <v>166</v>
      </c>
      <c r="G39" s="61"/>
      <c r="H39" s="61">
        <f>SUM(F39:G39)</f>
        <v>166</v>
      </c>
      <c r="I39" s="61">
        <v>144.6</v>
      </c>
      <c r="J39" s="18"/>
      <c r="K39" s="61">
        <f>SUM(I39:J39)</f>
        <v>144.6</v>
      </c>
      <c r="L39" s="61">
        <f t="shared" ref="L39" si="12">I39-F39</f>
        <v>-21.400000000000006</v>
      </c>
      <c r="M39" s="61"/>
      <c r="N39" s="24">
        <f t="shared" ref="N39" si="13">SUM(L39:M39)</f>
        <v>-21.400000000000006</v>
      </c>
    </row>
    <row r="40" spans="1:14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4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ht="15.75">
      <c r="B43" s="136" t="s">
        <v>243</v>
      </c>
      <c r="C43" s="136"/>
      <c r="D43" s="136"/>
      <c r="E43" s="2"/>
      <c r="F43" s="2"/>
      <c r="G43" s="2"/>
      <c r="H43" s="4"/>
      <c r="I43" s="137" t="s">
        <v>45</v>
      </c>
      <c r="J43" s="137"/>
      <c r="K43" s="2"/>
      <c r="L43" s="2"/>
      <c r="M43" s="2"/>
    </row>
    <row r="44" spans="1:14" ht="15.75">
      <c r="B44" s="6" t="s">
        <v>43</v>
      </c>
      <c r="C44" s="6"/>
      <c r="D44" s="2"/>
      <c r="E44" s="2"/>
      <c r="F44" s="2"/>
      <c r="G44" s="2"/>
      <c r="H44" s="2" t="s">
        <v>44</v>
      </c>
      <c r="I44" s="2"/>
      <c r="J44" s="2"/>
      <c r="K44" s="2"/>
      <c r="L44" s="2"/>
      <c r="M44" s="2"/>
    </row>
    <row r="45" spans="1:14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4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4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34">
    <mergeCell ref="A18:A19"/>
    <mergeCell ref="D18:D19"/>
    <mergeCell ref="D6:J6"/>
    <mergeCell ref="B10:K10"/>
    <mergeCell ref="B7:K7"/>
    <mergeCell ref="C14:M14"/>
    <mergeCell ref="B22:C22"/>
    <mergeCell ref="B21:C21"/>
    <mergeCell ref="B18:C19"/>
    <mergeCell ref="F18:H18"/>
    <mergeCell ref="E18:E19"/>
    <mergeCell ref="I18:K18"/>
    <mergeCell ref="L18:N18"/>
    <mergeCell ref="B20:H20"/>
    <mergeCell ref="B24:C24"/>
    <mergeCell ref="B25:C25"/>
    <mergeCell ref="B26:C26"/>
    <mergeCell ref="B27:C27"/>
    <mergeCell ref="B28:C28"/>
    <mergeCell ref="C9:J9"/>
    <mergeCell ref="B43:D43"/>
    <mergeCell ref="I43:J43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34:C34"/>
    <mergeCell ref="B23:C23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3"/>
  <sheetViews>
    <sheetView topLeftCell="A13" workbookViewId="0">
      <selection activeCell="J174" sqref="J174"/>
    </sheetView>
  </sheetViews>
  <sheetFormatPr defaultRowHeight="15"/>
  <cols>
    <col min="1" max="1" width="14.375" customWidth="1"/>
    <col min="2" max="2" width="12.125" customWidth="1"/>
    <col min="3" max="3" width="10.75" customWidth="1"/>
    <col min="4" max="4" width="11" customWidth="1"/>
    <col min="5" max="5" width="9.75" customWidth="1"/>
    <col min="6" max="6" width="10.125" customWidth="1"/>
    <col min="7" max="7" width="10.5" customWidth="1"/>
    <col min="8" max="9" width="10.625" customWidth="1"/>
  </cols>
  <sheetData>
    <row r="1" spans="1:13" ht="15.75">
      <c r="A1" s="2" t="s">
        <v>15</v>
      </c>
      <c r="B1" s="2"/>
      <c r="D1" s="2"/>
      <c r="E1" s="2"/>
      <c r="F1" s="2"/>
      <c r="G1" s="2"/>
      <c r="H1" s="2" t="s">
        <v>50</v>
      </c>
      <c r="I1" s="2"/>
      <c r="J1" s="2"/>
      <c r="K1" s="2"/>
      <c r="L1" s="2"/>
      <c r="M1" s="2"/>
    </row>
    <row r="2" spans="1:13" ht="15.75">
      <c r="A2" s="2" t="s">
        <v>16</v>
      </c>
      <c r="B2" s="2"/>
      <c r="D2" s="2"/>
      <c r="E2" s="2"/>
      <c r="F2" s="2"/>
      <c r="G2" s="2"/>
      <c r="H2" s="2" t="s">
        <v>17</v>
      </c>
      <c r="I2" s="2"/>
      <c r="J2" s="2"/>
      <c r="K2" s="2"/>
      <c r="L2" s="2"/>
      <c r="M2" s="2"/>
    </row>
    <row r="3" spans="1:13" ht="15.75">
      <c r="A3" s="2" t="s">
        <v>16</v>
      </c>
      <c r="B3" s="2"/>
      <c r="D3" s="2"/>
      <c r="E3" s="2"/>
      <c r="F3" s="2"/>
      <c r="G3" s="2"/>
      <c r="H3" s="2" t="s">
        <v>18</v>
      </c>
      <c r="I3" s="2"/>
      <c r="J3" s="2"/>
      <c r="K3" s="2"/>
      <c r="L3" s="2"/>
      <c r="M3" s="2"/>
    </row>
    <row r="4" spans="1:13" ht="15.75">
      <c r="A4" s="2" t="s">
        <v>19</v>
      </c>
      <c r="B4" s="2"/>
      <c r="D4" s="2"/>
      <c r="E4" s="2"/>
      <c r="F4" s="2"/>
      <c r="G4" s="2"/>
      <c r="H4" s="2" t="s">
        <v>20</v>
      </c>
      <c r="I4" s="2"/>
      <c r="J4" s="2"/>
      <c r="K4" s="2"/>
      <c r="L4" s="2"/>
      <c r="M4" s="2"/>
    </row>
    <row r="5" spans="1:13" ht="15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75" t="s">
        <v>10</v>
      </c>
      <c r="B6" s="175"/>
      <c r="C6" s="175"/>
      <c r="D6" s="175"/>
      <c r="E6" s="175"/>
      <c r="F6" s="175"/>
      <c r="G6" s="175"/>
      <c r="H6" s="175"/>
      <c r="I6" s="2"/>
      <c r="J6" s="2"/>
      <c r="K6" s="2"/>
      <c r="L6" s="2"/>
      <c r="M6" s="2"/>
    </row>
    <row r="7" spans="1:13" ht="30" customHeight="1">
      <c r="A7" s="162" t="s">
        <v>47</v>
      </c>
      <c r="B7" s="162"/>
      <c r="C7" s="162"/>
      <c r="D7" s="162"/>
      <c r="E7" s="162"/>
      <c r="F7" s="162"/>
      <c r="G7" s="162"/>
      <c r="H7" s="162"/>
      <c r="I7" s="162"/>
      <c r="J7" s="2"/>
      <c r="K7" s="2"/>
      <c r="L7" s="2"/>
      <c r="M7" s="2"/>
    </row>
    <row r="8" spans="1:13" ht="15.75">
      <c r="A8" s="3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>
      <c r="A9" s="2" t="s">
        <v>11</v>
      </c>
      <c r="B9" s="4" t="s">
        <v>7</v>
      </c>
      <c r="C9" s="4"/>
      <c r="D9" s="4"/>
      <c r="E9" s="4"/>
      <c r="F9" s="4"/>
      <c r="G9" s="4"/>
      <c r="H9" s="4"/>
      <c r="I9" s="2"/>
      <c r="J9" s="2"/>
      <c r="K9" s="2"/>
      <c r="L9" s="2"/>
      <c r="M9" s="2"/>
    </row>
    <row r="10" spans="1:13" ht="15.75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 t="s">
        <v>13</v>
      </c>
      <c r="B12" s="2"/>
      <c r="C12" s="2"/>
      <c r="D12" s="137" t="s">
        <v>14</v>
      </c>
      <c r="E12" s="137"/>
      <c r="F12" s="2"/>
      <c r="G12" s="2"/>
      <c r="H12" s="2"/>
      <c r="I12" s="2"/>
      <c r="J12" s="2"/>
      <c r="K12" s="2"/>
      <c r="L12" s="2"/>
      <c r="M12" s="2"/>
    </row>
    <row r="13" spans="1:13" ht="15.75">
      <c r="A13" s="5" t="s">
        <v>48</v>
      </c>
      <c r="B13" s="2"/>
      <c r="C13" s="2"/>
      <c r="D13" s="2"/>
      <c r="E13" s="2"/>
      <c r="F13" s="2"/>
      <c r="G13" s="2"/>
      <c r="H13" s="2" t="s">
        <v>49</v>
      </c>
      <c r="I13" s="2"/>
      <c r="J13" s="2"/>
      <c r="K13" s="2"/>
      <c r="L13" s="2"/>
      <c r="M13" s="2"/>
    </row>
    <row r="14" spans="1:13" ht="36" customHeight="1">
      <c r="A14" s="152" t="s">
        <v>21</v>
      </c>
      <c r="B14" s="177" t="s">
        <v>22</v>
      </c>
      <c r="C14" s="179" t="s">
        <v>23</v>
      </c>
      <c r="D14" s="170" t="s">
        <v>30</v>
      </c>
      <c r="E14" s="171"/>
      <c r="F14" s="170" t="s">
        <v>26</v>
      </c>
      <c r="G14" s="181"/>
      <c r="H14" s="170" t="s">
        <v>27</v>
      </c>
      <c r="I14" s="171"/>
      <c r="J14" s="2"/>
      <c r="K14" s="2"/>
      <c r="L14" s="2"/>
      <c r="M14" s="2"/>
    </row>
    <row r="15" spans="1:13" ht="143.25" customHeight="1">
      <c r="A15" s="176"/>
      <c r="B15" s="178"/>
      <c r="C15" s="180"/>
      <c r="D15" s="12" t="s">
        <v>24</v>
      </c>
      <c r="E15" s="12" t="s">
        <v>25</v>
      </c>
      <c r="F15" s="12" t="s">
        <v>24</v>
      </c>
      <c r="G15" s="12" t="s">
        <v>25</v>
      </c>
      <c r="H15" s="12" t="s">
        <v>24</v>
      </c>
      <c r="I15" s="12" t="s">
        <v>25</v>
      </c>
      <c r="J15" s="2"/>
      <c r="K15" s="2"/>
      <c r="L15" s="2"/>
      <c r="M15" s="2"/>
    </row>
    <row r="16" spans="1:13" ht="12.7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2"/>
      <c r="K16" s="2"/>
      <c r="L16" s="2"/>
      <c r="M16" s="2"/>
    </row>
    <row r="17" spans="1:13" ht="19.5" customHeight="1">
      <c r="A17" s="21">
        <v>1000000</v>
      </c>
      <c r="B17" s="21">
        <v>1010000</v>
      </c>
      <c r="C17" s="138" t="s">
        <v>7</v>
      </c>
      <c r="D17" s="182"/>
      <c r="E17" s="182"/>
      <c r="F17" s="182"/>
      <c r="G17" s="182"/>
      <c r="H17" s="182"/>
      <c r="I17" s="139"/>
      <c r="J17" s="2"/>
      <c r="K17" s="2"/>
      <c r="L17" s="2"/>
      <c r="M17" s="2"/>
    </row>
    <row r="18" spans="1:13" ht="15.75">
      <c r="A18" s="21">
        <v>2000</v>
      </c>
      <c r="B18" s="21"/>
      <c r="C18" s="15"/>
      <c r="D18" s="16">
        <f t="shared" ref="D18:I18" si="0">D19+D20+D21+D34+D36</f>
        <v>95796.599999999991</v>
      </c>
      <c r="E18" s="16">
        <f t="shared" si="0"/>
        <v>92907.500000000029</v>
      </c>
      <c r="F18" s="16">
        <f t="shared" si="0"/>
        <v>2592.3000000000002</v>
      </c>
      <c r="G18" s="16">
        <f t="shared" si="0"/>
        <v>2550.8000000000002</v>
      </c>
      <c r="H18" s="16">
        <f t="shared" si="0"/>
        <v>98388.9</v>
      </c>
      <c r="I18" s="16">
        <f t="shared" si="0"/>
        <v>95458.300000000017</v>
      </c>
      <c r="J18" s="2"/>
      <c r="K18" s="2"/>
      <c r="L18" s="2"/>
      <c r="M18" s="2"/>
    </row>
    <row r="19" spans="1:13" ht="15.75">
      <c r="A19" s="21">
        <v>2110</v>
      </c>
      <c r="B19" s="21"/>
      <c r="C19" s="15"/>
      <c r="D19" s="16">
        <f t="shared" ref="D19:I20" si="1">D47+D73+D88+D104+D123+D138</f>
        <v>59254.400000000001</v>
      </c>
      <c r="E19" s="16">
        <f t="shared" si="1"/>
        <v>57611.8</v>
      </c>
      <c r="F19" s="16">
        <f t="shared" si="1"/>
        <v>10.3</v>
      </c>
      <c r="G19" s="16">
        <f t="shared" si="1"/>
        <v>8.6999999999999993</v>
      </c>
      <c r="H19" s="16">
        <f t="shared" si="1"/>
        <v>59264.700000000004</v>
      </c>
      <c r="I19" s="16">
        <f t="shared" si="1"/>
        <v>57620.500000000007</v>
      </c>
      <c r="J19" s="2"/>
      <c r="K19" s="2"/>
      <c r="L19" s="2"/>
      <c r="M19" s="2"/>
    </row>
    <row r="20" spans="1:13" ht="15.75">
      <c r="A20" s="21">
        <v>2120</v>
      </c>
      <c r="B20" s="21"/>
      <c r="C20" s="15"/>
      <c r="D20" s="16">
        <f t="shared" si="1"/>
        <v>13169.800000000001</v>
      </c>
      <c r="E20" s="16">
        <f t="shared" si="1"/>
        <v>12799.800000000001</v>
      </c>
      <c r="F20" s="16">
        <f t="shared" si="1"/>
        <v>5.6</v>
      </c>
      <c r="G20" s="16">
        <f t="shared" si="1"/>
        <v>3.6</v>
      </c>
      <c r="H20" s="16">
        <f t="shared" si="1"/>
        <v>13175.400000000001</v>
      </c>
      <c r="I20" s="16">
        <f t="shared" si="1"/>
        <v>12803.400000000001</v>
      </c>
      <c r="J20" s="2"/>
      <c r="K20" s="2"/>
      <c r="L20" s="2"/>
      <c r="M20" s="2"/>
    </row>
    <row r="21" spans="1:13" ht="15.75">
      <c r="A21" s="21">
        <v>2200</v>
      </c>
      <c r="B21" s="21"/>
      <c r="C21" s="15"/>
      <c r="D21" s="16">
        <f t="shared" ref="D21:I21" si="2">D22+D23+D24+D25+D26+D32</f>
        <v>23206.7</v>
      </c>
      <c r="E21" s="16">
        <f t="shared" si="2"/>
        <v>22333.700000000004</v>
      </c>
      <c r="F21" s="16">
        <f t="shared" si="2"/>
        <v>2575</v>
      </c>
      <c r="G21" s="16">
        <f t="shared" si="2"/>
        <v>2537.1</v>
      </c>
      <c r="H21" s="16">
        <f t="shared" si="2"/>
        <v>25781.699999999997</v>
      </c>
      <c r="I21" s="16">
        <f t="shared" si="2"/>
        <v>24870.799999999999</v>
      </c>
      <c r="J21" s="2"/>
      <c r="K21" s="2"/>
      <c r="L21" s="2"/>
      <c r="M21" s="2"/>
    </row>
    <row r="22" spans="1:13" ht="15.75">
      <c r="A22" s="21">
        <v>2210</v>
      </c>
      <c r="B22" s="21"/>
      <c r="C22" s="15"/>
      <c r="D22" s="16">
        <f t="shared" ref="D22:I22" si="3">D50+D76+D91+D107+D126+D141</f>
        <v>2714.9</v>
      </c>
      <c r="E22" s="16">
        <f t="shared" si="3"/>
        <v>2703.5</v>
      </c>
      <c r="F22" s="16">
        <f t="shared" si="3"/>
        <v>548</v>
      </c>
      <c r="G22" s="16">
        <f t="shared" si="3"/>
        <v>526.6</v>
      </c>
      <c r="H22" s="16">
        <f t="shared" si="3"/>
        <v>3262.9</v>
      </c>
      <c r="I22" s="16">
        <f t="shared" si="3"/>
        <v>3230.1</v>
      </c>
      <c r="J22" s="2"/>
      <c r="K22" s="2"/>
      <c r="L22" s="2"/>
      <c r="M22" s="2"/>
    </row>
    <row r="23" spans="1:13" ht="15.75">
      <c r="A23" s="21">
        <v>2230</v>
      </c>
      <c r="B23" s="21"/>
      <c r="C23" s="15"/>
      <c r="D23" s="16">
        <f t="shared" ref="D23:I23" si="4">D51</f>
        <v>4154.8</v>
      </c>
      <c r="E23" s="16">
        <f t="shared" si="4"/>
        <v>3853</v>
      </c>
      <c r="F23" s="16">
        <f t="shared" si="4"/>
        <v>1394.4</v>
      </c>
      <c r="G23" s="16">
        <f t="shared" si="4"/>
        <v>1388.2</v>
      </c>
      <c r="H23" s="16">
        <f t="shared" si="4"/>
        <v>5549.2000000000007</v>
      </c>
      <c r="I23" s="16">
        <f t="shared" si="4"/>
        <v>5241.2</v>
      </c>
      <c r="J23" s="2"/>
      <c r="K23" s="2"/>
      <c r="L23" s="2"/>
      <c r="M23" s="2"/>
    </row>
    <row r="24" spans="1:13" ht="15.75">
      <c r="A24" s="21">
        <v>2240</v>
      </c>
      <c r="B24" s="21"/>
      <c r="C24" s="15"/>
      <c r="D24" s="16">
        <f t="shared" ref="D24:I25" si="5">D52+D77+D92+D108+D127+D142</f>
        <v>5447.9</v>
      </c>
      <c r="E24" s="16">
        <f t="shared" si="5"/>
        <v>5341.9</v>
      </c>
      <c r="F24" s="16">
        <f t="shared" si="5"/>
        <v>549</v>
      </c>
      <c r="G24" s="16">
        <f t="shared" si="5"/>
        <v>542.70000000000005</v>
      </c>
      <c r="H24" s="16">
        <f t="shared" si="5"/>
        <v>5996.8999999999987</v>
      </c>
      <c r="I24" s="16">
        <f t="shared" si="5"/>
        <v>5884.5999999999995</v>
      </c>
      <c r="J24" s="2"/>
      <c r="K24" s="2"/>
      <c r="L24" s="2"/>
      <c r="M24" s="2"/>
    </row>
    <row r="25" spans="1:13" ht="15.75">
      <c r="A25" s="21">
        <v>2250</v>
      </c>
      <c r="B25" s="21"/>
      <c r="C25" s="15"/>
      <c r="D25" s="16">
        <f t="shared" si="5"/>
        <v>130.6</v>
      </c>
      <c r="E25" s="16">
        <f t="shared" si="5"/>
        <v>107.99999999999999</v>
      </c>
      <c r="F25" s="16">
        <f t="shared" si="5"/>
        <v>1</v>
      </c>
      <c r="G25" s="16">
        <f t="shared" si="5"/>
        <v>0.2</v>
      </c>
      <c r="H25" s="16">
        <f t="shared" si="5"/>
        <v>131.6</v>
      </c>
      <c r="I25" s="16">
        <f t="shared" si="5"/>
        <v>108.19999999999999</v>
      </c>
      <c r="J25" s="2"/>
      <c r="K25" s="2"/>
      <c r="L25" s="2"/>
      <c r="M25" s="2"/>
    </row>
    <row r="26" spans="1:13" ht="15.75">
      <c r="A26" s="21">
        <v>2270</v>
      </c>
      <c r="B26" s="21"/>
      <c r="C26" s="15"/>
      <c r="D26" s="16">
        <f t="shared" ref="D26:I26" si="6">D27+D28+D29+D30+D31</f>
        <v>10523</v>
      </c>
      <c r="E26" s="16">
        <f t="shared" si="6"/>
        <v>10092.400000000001</v>
      </c>
      <c r="F26" s="16">
        <f t="shared" si="6"/>
        <v>81.5</v>
      </c>
      <c r="G26" s="16">
        <f t="shared" si="6"/>
        <v>78.399999999999991</v>
      </c>
      <c r="H26" s="16">
        <f t="shared" si="6"/>
        <v>10604.5</v>
      </c>
      <c r="I26" s="16">
        <f t="shared" si="6"/>
        <v>10170.799999999999</v>
      </c>
      <c r="J26" s="2"/>
      <c r="K26" s="2"/>
      <c r="L26" s="2"/>
      <c r="M26" s="2"/>
    </row>
    <row r="27" spans="1:13" ht="15.75">
      <c r="A27" s="21">
        <v>2271</v>
      </c>
      <c r="B27" s="21"/>
      <c r="C27" s="15"/>
      <c r="D27" s="16">
        <f t="shared" ref="D27:I27" si="7">D55+D111</f>
        <v>1332.1</v>
      </c>
      <c r="E27" s="16">
        <f t="shared" si="7"/>
        <v>1268.0999999999999</v>
      </c>
      <c r="F27" s="16">
        <f t="shared" si="7"/>
        <v>0</v>
      </c>
      <c r="G27" s="16">
        <f t="shared" si="7"/>
        <v>0</v>
      </c>
      <c r="H27" s="16">
        <f t="shared" si="7"/>
        <v>1332.1</v>
      </c>
      <c r="I27" s="16">
        <f t="shared" si="7"/>
        <v>1268.0999999999999</v>
      </c>
      <c r="J27" s="2"/>
      <c r="K27" s="2"/>
      <c r="L27" s="2"/>
      <c r="M27" s="2"/>
    </row>
    <row r="28" spans="1:13" ht="15.75">
      <c r="A28" s="21">
        <v>2272</v>
      </c>
      <c r="B28" s="21"/>
      <c r="C28" s="15"/>
      <c r="D28" s="16">
        <f t="shared" ref="D28:I28" si="8">D56+D112+D145</f>
        <v>41.699999999999996</v>
      </c>
      <c r="E28" s="16">
        <f t="shared" si="8"/>
        <v>41.3</v>
      </c>
      <c r="F28" s="16">
        <f t="shared" si="8"/>
        <v>0.5</v>
      </c>
      <c r="G28" s="16">
        <f t="shared" si="8"/>
        <v>0.5</v>
      </c>
      <c r="H28" s="16">
        <f t="shared" si="8"/>
        <v>42.199999999999996</v>
      </c>
      <c r="I28" s="16">
        <f t="shared" si="8"/>
        <v>41.8</v>
      </c>
      <c r="J28" s="2"/>
      <c r="K28" s="2"/>
      <c r="L28" s="2"/>
      <c r="M28" s="2"/>
    </row>
    <row r="29" spans="1:13" ht="15.75">
      <c r="A29" s="21">
        <v>2273</v>
      </c>
      <c r="B29" s="21"/>
      <c r="C29" s="15"/>
      <c r="D29" s="16">
        <f t="shared" ref="D29:I29" si="9">D57+D80+D113+D146</f>
        <v>1302.7000000000003</v>
      </c>
      <c r="E29" s="16">
        <f t="shared" si="9"/>
        <v>1301.9000000000001</v>
      </c>
      <c r="F29" s="16">
        <f t="shared" si="9"/>
        <v>12.4</v>
      </c>
      <c r="G29" s="16">
        <f t="shared" si="9"/>
        <v>9.3000000000000007</v>
      </c>
      <c r="H29" s="16">
        <f t="shared" si="9"/>
        <v>1315.1000000000004</v>
      </c>
      <c r="I29" s="16">
        <f t="shared" si="9"/>
        <v>1311.2</v>
      </c>
      <c r="J29" s="2"/>
      <c r="K29" s="2"/>
      <c r="L29" s="2"/>
      <c r="M29" s="2"/>
    </row>
    <row r="30" spans="1:13" ht="15.75">
      <c r="A30" s="21">
        <v>2274</v>
      </c>
      <c r="B30" s="21"/>
      <c r="C30" s="15"/>
      <c r="D30" s="16">
        <f t="shared" ref="D30:I30" si="10">D58</f>
        <v>3054.6</v>
      </c>
      <c r="E30" s="16">
        <f t="shared" si="10"/>
        <v>2689.2</v>
      </c>
      <c r="F30" s="16">
        <f t="shared" si="10"/>
        <v>0</v>
      </c>
      <c r="G30" s="16">
        <f t="shared" si="10"/>
        <v>0</v>
      </c>
      <c r="H30" s="16">
        <f t="shared" si="10"/>
        <v>3054.6</v>
      </c>
      <c r="I30" s="16">
        <f t="shared" si="10"/>
        <v>2689.2</v>
      </c>
      <c r="J30" s="2"/>
      <c r="K30" s="2"/>
      <c r="L30" s="2"/>
      <c r="M30" s="2"/>
    </row>
    <row r="31" spans="1:13" ht="15.75">
      <c r="A31" s="21">
        <v>2275</v>
      </c>
      <c r="B31" s="21"/>
      <c r="C31" s="15"/>
      <c r="D31" s="16">
        <f t="shared" ref="D31:I31" si="11">D59+D81+D147</f>
        <v>4791.9000000000005</v>
      </c>
      <c r="E31" s="16">
        <f t="shared" si="11"/>
        <v>4791.9000000000005</v>
      </c>
      <c r="F31" s="16">
        <f t="shared" si="11"/>
        <v>68.599999999999994</v>
      </c>
      <c r="G31" s="16">
        <f t="shared" si="11"/>
        <v>68.599999999999994</v>
      </c>
      <c r="H31" s="16">
        <f t="shared" si="11"/>
        <v>4860.5000000000009</v>
      </c>
      <c r="I31" s="16">
        <f t="shared" si="11"/>
        <v>4860.5000000000009</v>
      </c>
      <c r="J31" s="2"/>
      <c r="K31" s="2"/>
      <c r="L31" s="2"/>
      <c r="M31" s="2"/>
    </row>
    <row r="32" spans="1:13" ht="15.75">
      <c r="A32" s="21">
        <v>2280</v>
      </c>
      <c r="B32" s="21"/>
      <c r="C32" s="15"/>
      <c r="D32" s="15">
        <f t="shared" ref="D32:I32" si="12">D33</f>
        <v>235.5</v>
      </c>
      <c r="E32" s="15">
        <f t="shared" si="12"/>
        <v>234.9</v>
      </c>
      <c r="F32" s="15">
        <f t="shared" si="12"/>
        <v>1.1000000000000001</v>
      </c>
      <c r="G32" s="16">
        <f t="shared" si="12"/>
        <v>1</v>
      </c>
      <c r="H32" s="15">
        <f t="shared" si="12"/>
        <v>236.6</v>
      </c>
      <c r="I32" s="15">
        <f t="shared" si="12"/>
        <v>235.9</v>
      </c>
      <c r="J32" s="2"/>
      <c r="K32" s="2"/>
      <c r="L32" s="2"/>
      <c r="M32" s="2"/>
    </row>
    <row r="33" spans="1:13" ht="15.75">
      <c r="A33" s="21">
        <v>2282</v>
      </c>
      <c r="B33" s="21"/>
      <c r="C33" s="15"/>
      <c r="D33" s="16">
        <f t="shared" ref="D33:I33" si="13">D61+D83+D95+D115+D130+D149+D163</f>
        <v>235.5</v>
      </c>
      <c r="E33" s="16">
        <f t="shared" si="13"/>
        <v>234.9</v>
      </c>
      <c r="F33" s="16">
        <f t="shared" si="13"/>
        <v>1.1000000000000001</v>
      </c>
      <c r="G33" s="16">
        <f t="shared" si="13"/>
        <v>1</v>
      </c>
      <c r="H33" s="16">
        <f t="shared" si="13"/>
        <v>236.6</v>
      </c>
      <c r="I33" s="16">
        <f t="shared" si="13"/>
        <v>235.9</v>
      </c>
      <c r="J33" s="2"/>
      <c r="K33" s="2"/>
      <c r="L33" s="2"/>
      <c r="M33" s="2"/>
    </row>
    <row r="34" spans="1:13" ht="15.75">
      <c r="A34" s="21">
        <v>2700</v>
      </c>
      <c r="B34" s="21"/>
      <c r="C34" s="15"/>
      <c r="D34" s="15">
        <f t="shared" ref="D34:I34" si="14">D35</f>
        <v>45.2</v>
      </c>
      <c r="E34" s="15">
        <f t="shared" si="14"/>
        <v>42.6</v>
      </c>
      <c r="F34" s="16">
        <f t="shared" si="14"/>
        <v>0</v>
      </c>
      <c r="G34" s="16">
        <f t="shared" si="14"/>
        <v>0</v>
      </c>
      <c r="H34" s="15">
        <f t="shared" si="14"/>
        <v>45.2</v>
      </c>
      <c r="I34" s="15">
        <f t="shared" si="14"/>
        <v>42.6</v>
      </c>
      <c r="J34" s="2"/>
      <c r="K34" s="2"/>
      <c r="L34" s="2"/>
      <c r="M34" s="2"/>
    </row>
    <row r="35" spans="1:13" ht="15.75">
      <c r="A35" s="22">
        <v>2730</v>
      </c>
      <c r="B35" s="21"/>
      <c r="C35" s="15"/>
      <c r="D35" s="16">
        <f t="shared" ref="D35:I35" si="15">D63+D97+D158</f>
        <v>45.2</v>
      </c>
      <c r="E35" s="16">
        <f t="shared" si="15"/>
        <v>42.6</v>
      </c>
      <c r="F35" s="16">
        <f t="shared" si="15"/>
        <v>0</v>
      </c>
      <c r="G35" s="16">
        <f t="shared" si="15"/>
        <v>0</v>
      </c>
      <c r="H35" s="16">
        <f t="shared" si="15"/>
        <v>45.2</v>
      </c>
      <c r="I35" s="16">
        <f t="shared" si="15"/>
        <v>42.6</v>
      </c>
      <c r="J35" s="2"/>
      <c r="K35" s="2"/>
      <c r="L35" s="2"/>
      <c r="M35" s="2"/>
    </row>
    <row r="36" spans="1:13" ht="15.75">
      <c r="A36" s="22">
        <v>2800</v>
      </c>
      <c r="B36" s="21"/>
      <c r="C36" s="15"/>
      <c r="D36" s="16">
        <f t="shared" ref="D36:I36" si="16">D64+D84+D116+D131+D150</f>
        <v>120.5</v>
      </c>
      <c r="E36" s="16">
        <f t="shared" si="16"/>
        <v>119.60000000000001</v>
      </c>
      <c r="F36" s="16">
        <f t="shared" si="16"/>
        <v>1.4</v>
      </c>
      <c r="G36" s="16">
        <f t="shared" si="16"/>
        <v>1.4</v>
      </c>
      <c r="H36" s="16">
        <f t="shared" si="16"/>
        <v>121.89999999999999</v>
      </c>
      <c r="I36" s="16">
        <f t="shared" si="16"/>
        <v>121</v>
      </c>
      <c r="J36" s="2"/>
      <c r="K36" s="2"/>
      <c r="L36" s="2"/>
      <c r="M36" s="2"/>
    </row>
    <row r="37" spans="1:13" ht="15.75">
      <c r="A37" s="21">
        <v>3000</v>
      </c>
      <c r="B37" s="21"/>
      <c r="C37" s="15"/>
      <c r="D37" s="16">
        <f>D38</f>
        <v>0</v>
      </c>
      <c r="E37" s="16">
        <f t="shared" ref="E37:I37" si="17">E38</f>
        <v>0</v>
      </c>
      <c r="F37" s="16">
        <f t="shared" si="17"/>
        <v>10739.699999999999</v>
      </c>
      <c r="G37" s="16">
        <f t="shared" si="17"/>
        <v>9114.2999999999993</v>
      </c>
      <c r="H37" s="16">
        <f t="shared" si="17"/>
        <v>10739.699999999999</v>
      </c>
      <c r="I37" s="16">
        <f t="shared" si="17"/>
        <v>9114.2999999999993</v>
      </c>
      <c r="J37" s="2"/>
      <c r="K37" s="2"/>
      <c r="L37" s="2"/>
      <c r="M37" s="2"/>
    </row>
    <row r="38" spans="1:13" ht="15.75">
      <c r="A38" s="21">
        <v>3100</v>
      </c>
      <c r="B38" s="21"/>
      <c r="C38" s="15"/>
      <c r="D38" s="16">
        <f>D39+D40+D42</f>
        <v>0</v>
      </c>
      <c r="E38" s="16">
        <f t="shared" ref="E38" si="18">E39+E40+E42</f>
        <v>0</v>
      </c>
      <c r="F38" s="16">
        <f>F39+F40+F42</f>
        <v>10739.699999999999</v>
      </c>
      <c r="G38" s="16">
        <f>G39+G40+G42</f>
        <v>9114.2999999999993</v>
      </c>
      <c r="H38" s="16">
        <f>H39+H40+H42</f>
        <v>10739.699999999999</v>
      </c>
      <c r="I38" s="16">
        <f>I39+I40+I42</f>
        <v>9114.2999999999993</v>
      </c>
      <c r="J38" s="2"/>
      <c r="K38" s="2"/>
      <c r="L38" s="2"/>
      <c r="M38" s="2"/>
    </row>
    <row r="39" spans="1:13" ht="15.75">
      <c r="A39" s="21">
        <v>3110</v>
      </c>
      <c r="B39" s="21"/>
      <c r="C39" s="15"/>
      <c r="D39" s="16">
        <f t="shared" ref="D39:I39" si="19">D67+D100+D119+D134+D153</f>
        <v>0</v>
      </c>
      <c r="E39" s="16">
        <f t="shared" si="19"/>
        <v>0</v>
      </c>
      <c r="F39" s="16">
        <f t="shared" si="19"/>
        <v>4561.9999999999991</v>
      </c>
      <c r="G39" s="16">
        <f t="shared" si="19"/>
        <v>3001.8</v>
      </c>
      <c r="H39" s="16">
        <f t="shared" si="19"/>
        <v>4561.9999999999991</v>
      </c>
      <c r="I39" s="16">
        <f t="shared" si="19"/>
        <v>3001.8</v>
      </c>
      <c r="J39" s="2"/>
      <c r="K39" s="2"/>
      <c r="L39" s="2"/>
      <c r="M39" s="2"/>
    </row>
    <row r="40" spans="1:13" ht="15.75">
      <c r="A40" s="21">
        <v>3130</v>
      </c>
      <c r="B40" s="21"/>
      <c r="C40" s="15"/>
      <c r="D40" s="16">
        <f>D41</f>
        <v>0</v>
      </c>
      <c r="E40" s="16">
        <f t="shared" ref="E40:I40" si="20">E41</f>
        <v>0</v>
      </c>
      <c r="F40" s="16">
        <f t="shared" si="20"/>
        <v>3156</v>
      </c>
      <c r="G40" s="16">
        <f t="shared" si="20"/>
        <v>3100.3</v>
      </c>
      <c r="H40" s="16">
        <f t="shared" si="20"/>
        <v>3156</v>
      </c>
      <c r="I40" s="16">
        <f t="shared" si="20"/>
        <v>3100.3</v>
      </c>
      <c r="J40" s="2"/>
      <c r="K40" s="2"/>
      <c r="L40" s="2"/>
      <c r="M40" s="2"/>
    </row>
    <row r="41" spans="1:13" ht="15.75">
      <c r="A41" s="21">
        <v>3132</v>
      </c>
      <c r="B41" s="21"/>
      <c r="C41" s="15"/>
      <c r="D41" s="16">
        <f t="shared" ref="D41:I41" si="21">D69</f>
        <v>0</v>
      </c>
      <c r="E41" s="16">
        <f t="shared" si="21"/>
        <v>0</v>
      </c>
      <c r="F41" s="16">
        <f t="shared" si="21"/>
        <v>3156</v>
      </c>
      <c r="G41" s="16">
        <f t="shared" si="21"/>
        <v>3100.3</v>
      </c>
      <c r="H41" s="16">
        <f t="shared" si="21"/>
        <v>3156</v>
      </c>
      <c r="I41" s="16">
        <f t="shared" si="21"/>
        <v>3100.3</v>
      </c>
      <c r="J41" s="2"/>
      <c r="K41" s="2"/>
      <c r="L41" s="2"/>
      <c r="M41" s="2"/>
    </row>
    <row r="42" spans="1:13" ht="15.75">
      <c r="A42" s="23">
        <v>3140</v>
      </c>
      <c r="B42" s="21"/>
      <c r="C42" s="15"/>
      <c r="D42" s="16">
        <f t="shared" ref="D42:I43" si="22">D167</f>
        <v>0</v>
      </c>
      <c r="E42" s="16">
        <f t="shared" si="22"/>
        <v>0</v>
      </c>
      <c r="F42" s="16">
        <f t="shared" si="22"/>
        <v>3021.7</v>
      </c>
      <c r="G42" s="16">
        <f t="shared" si="22"/>
        <v>3012.2</v>
      </c>
      <c r="H42" s="16">
        <f t="shared" si="22"/>
        <v>3021.7</v>
      </c>
      <c r="I42" s="16">
        <f t="shared" si="22"/>
        <v>3012.2</v>
      </c>
      <c r="J42" s="2"/>
      <c r="K42" s="2"/>
      <c r="L42" s="2"/>
      <c r="M42" s="2"/>
    </row>
    <row r="43" spans="1:13" ht="15.75">
      <c r="A43" s="23">
        <v>3142</v>
      </c>
      <c r="B43" s="21"/>
      <c r="C43" s="15"/>
      <c r="D43" s="16">
        <f t="shared" si="22"/>
        <v>0</v>
      </c>
      <c r="E43" s="16">
        <f t="shared" si="22"/>
        <v>0</v>
      </c>
      <c r="F43" s="16">
        <f t="shared" si="22"/>
        <v>3021.7</v>
      </c>
      <c r="G43" s="16">
        <f t="shared" si="22"/>
        <v>3012.2</v>
      </c>
      <c r="H43" s="16">
        <f t="shared" si="22"/>
        <v>3021.7</v>
      </c>
      <c r="I43" s="16">
        <f t="shared" si="22"/>
        <v>3012.2</v>
      </c>
      <c r="J43" s="2"/>
      <c r="K43" s="2"/>
      <c r="L43" s="2"/>
      <c r="M43" s="2"/>
    </row>
    <row r="44" spans="1:13" ht="15.75">
      <c r="A44" s="27" t="s">
        <v>28</v>
      </c>
      <c r="B44" s="21"/>
      <c r="C44" s="15"/>
      <c r="D44" s="29">
        <f>D18+D37</f>
        <v>95796.599999999991</v>
      </c>
      <c r="E44" s="49">
        <f t="shared" ref="E44:I44" si="23">E18+E37</f>
        <v>92907.500000000029</v>
      </c>
      <c r="F44" s="49">
        <f t="shared" si="23"/>
        <v>13332</v>
      </c>
      <c r="G44" s="49">
        <f t="shared" si="23"/>
        <v>11665.099999999999</v>
      </c>
      <c r="H44" s="49">
        <f t="shared" si="23"/>
        <v>109128.59999999999</v>
      </c>
      <c r="I44" s="49">
        <f t="shared" si="23"/>
        <v>104572.60000000002</v>
      </c>
      <c r="J44" s="2"/>
      <c r="K44" s="2"/>
      <c r="L44" s="2"/>
      <c r="M44" s="2"/>
    </row>
    <row r="45" spans="1:13" ht="45.75" customHeight="1">
      <c r="A45" s="31">
        <v>1011020</v>
      </c>
      <c r="B45" s="32">
        <v>921</v>
      </c>
      <c r="C45" s="167" t="s">
        <v>29</v>
      </c>
      <c r="D45" s="168"/>
      <c r="E45" s="168"/>
      <c r="F45" s="168"/>
      <c r="G45" s="168"/>
      <c r="H45" s="168"/>
      <c r="I45" s="169"/>
      <c r="J45" s="2"/>
      <c r="K45" s="2"/>
      <c r="L45" s="2"/>
      <c r="M45" s="2"/>
    </row>
    <row r="46" spans="1:13" ht="15.75">
      <c r="A46" s="21">
        <v>2000</v>
      </c>
      <c r="B46" s="21"/>
      <c r="C46" s="15"/>
      <c r="D46" s="16">
        <f>D47+D48+D49+D62+D64</f>
        <v>88085.4</v>
      </c>
      <c r="E46" s="16">
        <f>E47+E48+E49+E62+E64</f>
        <v>85213.4</v>
      </c>
      <c r="F46" s="16">
        <f>F47+F48+F49+F62+F64</f>
        <v>1758.2</v>
      </c>
      <c r="G46" s="16">
        <f>G47+G48+G49+G62+G64</f>
        <v>1747.4999999999998</v>
      </c>
      <c r="H46" s="16">
        <f>D46+F46</f>
        <v>89843.599999999991</v>
      </c>
      <c r="I46" s="16">
        <f>E46+G46</f>
        <v>86960.9</v>
      </c>
      <c r="J46" s="2"/>
      <c r="K46" s="2"/>
      <c r="L46" s="2"/>
      <c r="M46" s="2"/>
    </row>
    <row r="47" spans="1:13" ht="15.75">
      <c r="A47" s="21">
        <v>2110</v>
      </c>
      <c r="B47" s="21"/>
      <c r="C47" s="15"/>
      <c r="D47" s="16">
        <v>53661</v>
      </c>
      <c r="E47" s="15">
        <v>52027.4</v>
      </c>
      <c r="F47" s="15"/>
      <c r="G47" s="15"/>
      <c r="H47" s="16">
        <f t="shared" ref="H47:H70" si="24">D47+F47</f>
        <v>53661</v>
      </c>
      <c r="I47" s="16">
        <f t="shared" ref="I47:I70" si="25">E47+G47</f>
        <v>52027.4</v>
      </c>
      <c r="J47" s="2"/>
      <c r="K47" s="2"/>
      <c r="L47" s="2"/>
      <c r="M47" s="2"/>
    </row>
    <row r="48" spans="1:13" ht="15.75">
      <c r="A48" s="21">
        <v>2120</v>
      </c>
      <c r="B48" s="21"/>
      <c r="C48" s="15"/>
      <c r="D48" s="16">
        <v>11939</v>
      </c>
      <c r="E48" s="15">
        <v>11572.6</v>
      </c>
      <c r="F48" s="15"/>
      <c r="G48" s="15"/>
      <c r="H48" s="16">
        <f t="shared" si="24"/>
        <v>11939</v>
      </c>
      <c r="I48" s="16">
        <f t="shared" si="25"/>
        <v>11572.6</v>
      </c>
      <c r="J48" s="2"/>
      <c r="K48" s="2"/>
      <c r="L48" s="2"/>
      <c r="M48" s="2"/>
    </row>
    <row r="49" spans="1:13" ht="15.75">
      <c r="A49" s="21">
        <v>2200</v>
      </c>
      <c r="B49" s="21"/>
      <c r="C49" s="15"/>
      <c r="D49" s="16">
        <f>D50+D51+D52+D53+D54+D60</f>
        <v>22368.2</v>
      </c>
      <c r="E49" s="16">
        <f>E50+E51+E52+E53+E54+E60</f>
        <v>21497</v>
      </c>
      <c r="F49" s="16">
        <f>F50+F51+F52+F53+F54+F60</f>
        <v>1758.1000000000001</v>
      </c>
      <c r="G49" s="16">
        <f>G50+G51+G52+G53+G54+G60</f>
        <v>1747.3999999999999</v>
      </c>
      <c r="H49" s="16">
        <f t="shared" si="24"/>
        <v>24126.3</v>
      </c>
      <c r="I49" s="16">
        <f t="shared" si="25"/>
        <v>23244.400000000001</v>
      </c>
      <c r="J49" s="2"/>
      <c r="K49" s="2"/>
      <c r="L49" s="2"/>
      <c r="M49" s="2"/>
    </row>
    <row r="50" spans="1:13" ht="15.75">
      <c r="A50" s="21">
        <v>2210</v>
      </c>
      <c r="B50" s="21"/>
      <c r="C50" s="15"/>
      <c r="D50" s="16">
        <v>2618.9</v>
      </c>
      <c r="E50" s="15">
        <v>2607.6</v>
      </c>
      <c r="F50" s="15">
        <v>339.4</v>
      </c>
      <c r="G50" s="16">
        <v>335</v>
      </c>
      <c r="H50" s="16">
        <f t="shared" si="24"/>
        <v>2958.3</v>
      </c>
      <c r="I50" s="16">
        <f t="shared" si="25"/>
        <v>2942.6</v>
      </c>
      <c r="J50" s="2"/>
      <c r="K50" s="2"/>
      <c r="L50" s="2"/>
      <c r="M50" s="2"/>
    </row>
    <row r="51" spans="1:13" ht="15.75">
      <c r="A51" s="21">
        <v>2230</v>
      </c>
      <c r="B51" s="21"/>
      <c r="C51" s="15"/>
      <c r="D51" s="16">
        <v>4154.8</v>
      </c>
      <c r="E51" s="16">
        <v>3853</v>
      </c>
      <c r="F51" s="15">
        <v>1394.4</v>
      </c>
      <c r="G51" s="15">
        <v>1388.2</v>
      </c>
      <c r="H51" s="16">
        <f t="shared" si="24"/>
        <v>5549.2000000000007</v>
      </c>
      <c r="I51" s="16">
        <f t="shared" si="25"/>
        <v>5241.2</v>
      </c>
      <c r="J51" s="2"/>
      <c r="K51" s="2"/>
      <c r="L51" s="2"/>
      <c r="M51" s="2"/>
    </row>
    <row r="52" spans="1:13" ht="15.75">
      <c r="A52" s="21">
        <v>2240</v>
      </c>
      <c r="B52" s="21"/>
      <c r="C52" s="15"/>
      <c r="D52" s="16">
        <v>5142.7</v>
      </c>
      <c r="E52" s="15">
        <v>5036.8999999999996</v>
      </c>
      <c r="F52" s="15">
        <v>24.2</v>
      </c>
      <c r="G52" s="15">
        <v>24.1</v>
      </c>
      <c r="H52" s="16">
        <f t="shared" si="24"/>
        <v>5166.8999999999996</v>
      </c>
      <c r="I52" s="16">
        <f t="shared" si="25"/>
        <v>5061</v>
      </c>
      <c r="J52" s="2"/>
      <c r="K52" s="2"/>
      <c r="L52" s="2"/>
      <c r="M52" s="2"/>
    </row>
    <row r="53" spans="1:13" ht="15.75">
      <c r="A53" s="21">
        <v>2250</v>
      </c>
      <c r="B53" s="21"/>
      <c r="C53" s="15"/>
      <c r="D53" s="16">
        <v>116.5</v>
      </c>
      <c r="E53" s="16">
        <v>94</v>
      </c>
      <c r="F53" s="15"/>
      <c r="G53" s="15"/>
      <c r="H53" s="16">
        <f t="shared" si="24"/>
        <v>116.5</v>
      </c>
      <c r="I53" s="16">
        <f t="shared" si="25"/>
        <v>94</v>
      </c>
      <c r="J53" s="2"/>
      <c r="K53" s="2"/>
      <c r="L53" s="2"/>
      <c r="M53" s="2"/>
    </row>
    <row r="54" spans="1:13" ht="15.75">
      <c r="A54" s="21">
        <v>2270</v>
      </c>
      <c r="B54" s="21"/>
      <c r="C54" s="15"/>
      <c r="D54" s="16">
        <f>D55+D56+D57+D58+D59</f>
        <v>10294</v>
      </c>
      <c r="E54" s="16">
        <f>E55+E56+E57+E58+E59</f>
        <v>9864.2000000000007</v>
      </c>
      <c r="F54" s="16">
        <f>F55+F56+F57+F58+F59</f>
        <v>0.1</v>
      </c>
      <c r="G54" s="16">
        <f>G55+G56+G57+G58+G59</f>
        <v>0.1</v>
      </c>
      <c r="H54" s="16">
        <f t="shared" si="24"/>
        <v>10294.1</v>
      </c>
      <c r="I54" s="16">
        <f t="shared" si="25"/>
        <v>9864.3000000000011</v>
      </c>
      <c r="J54" s="2"/>
      <c r="K54" s="2"/>
      <c r="L54" s="2"/>
      <c r="M54" s="2"/>
    </row>
    <row r="55" spans="1:13" ht="15.75">
      <c r="A55" s="21">
        <v>2271</v>
      </c>
      <c r="B55" s="21"/>
      <c r="C55" s="15"/>
      <c r="D55" s="16">
        <v>1245.0999999999999</v>
      </c>
      <c r="E55" s="15">
        <v>1181.0999999999999</v>
      </c>
      <c r="F55" s="15"/>
      <c r="G55" s="15"/>
      <c r="H55" s="16">
        <f t="shared" si="24"/>
        <v>1245.0999999999999</v>
      </c>
      <c r="I55" s="16">
        <f t="shared" si="25"/>
        <v>1181.0999999999999</v>
      </c>
      <c r="J55" s="2"/>
      <c r="K55" s="2"/>
      <c r="L55" s="2"/>
      <c r="M55" s="2"/>
    </row>
    <row r="56" spans="1:13" ht="15.75">
      <c r="A56" s="21">
        <v>2272</v>
      </c>
      <c r="B56" s="21"/>
      <c r="C56" s="15"/>
      <c r="D56" s="16">
        <v>36.799999999999997</v>
      </c>
      <c r="E56" s="15">
        <v>36.4</v>
      </c>
      <c r="F56" s="15"/>
      <c r="G56" s="15"/>
      <c r="H56" s="16">
        <f t="shared" si="24"/>
        <v>36.799999999999997</v>
      </c>
      <c r="I56" s="16">
        <f t="shared" si="25"/>
        <v>36.4</v>
      </c>
      <c r="J56" s="2"/>
      <c r="K56" s="2"/>
      <c r="L56" s="2"/>
      <c r="M56" s="2"/>
    </row>
    <row r="57" spans="1:13" ht="15.75">
      <c r="A57" s="21">
        <v>2273</v>
      </c>
      <c r="B57" s="21"/>
      <c r="C57" s="15"/>
      <c r="D57" s="16">
        <v>1257.4000000000001</v>
      </c>
      <c r="E57" s="15">
        <v>1257.4000000000001</v>
      </c>
      <c r="F57" s="15"/>
      <c r="G57" s="15"/>
      <c r="H57" s="16">
        <f t="shared" si="24"/>
        <v>1257.4000000000001</v>
      </c>
      <c r="I57" s="16">
        <f t="shared" si="25"/>
        <v>1257.4000000000001</v>
      </c>
      <c r="J57" s="2"/>
      <c r="K57" s="2"/>
      <c r="L57" s="2"/>
      <c r="M57" s="2"/>
    </row>
    <row r="58" spans="1:13" ht="15.75">
      <c r="A58" s="21">
        <v>2274</v>
      </c>
      <c r="B58" s="21"/>
      <c r="C58" s="15"/>
      <c r="D58" s="16">
        <v>3054.6</v>
      </c>
      <c r="E58" s="15">
        <v>2689.2</v>
      </c>
      <c r="F58" s="15"/>
      <c r="G58" s="15"/>
      <c r="H58" s="16">
        <f t="shared" si="24"/>
        <v>3054.6</v>
      </c>
      <c r="I58" s="16">
        <f t="shared" si="25"/>
        <v>2689.2</v>
      </c>
      <c r="J58" s="2"/>
      <c r="K58" s="2"/>
      <c r="L58" s="2"/>
      <c r="M58" s="2"/>
    </row>
    <row r="59" spans="1:13" ht="15.75">
      <c r="A59" s="21">
        <v>2275</v>
      </c>
      <c r="B59" s="21"/>
      <c r="C59" s="15"/>
      <c r="D59" s="16">
        <v>4700.1000000000004</v>
      </c>
      <c r="E59" s="15">
        <v>4700.1000000000004</v>
      </c>
      <c r="F59" s="15">
        <v>0.1</v>
      </c>
      <c r="G59" s="16">
        <v>0.1</v>
      </c>
      <c r="H59" s="16">
        <f t="shared" si="24"/>
        <v>4700.2000000000007</v>
      </c>
      <c r="I59" s="16">
        <f t="shared" si="25"/>
        <v>4700.2000000000007</v>
      </c>
      <c r="J59" s="2"/>
      <c r="K59" s="2"/>
      <c r="L59" s="2"/>
      <c r="M59" s="2"/>
    </row>
    <row r="60" spans="1:13" ht="15.75">
      <c r="A60" s="21">
        <v>2280</v>
      </c>
      <c r="B60" s="21"/>
      <c r="C60" s="15"/>
      <c r="D60" s="16">
        <f>D61</f>
        <v>41.3</v>
      </c>
      <c r="E60" s="16">
        <f>E61</f>
        <v>41.3</v>
      </c>
      <c r="F60" s="15"/>
      <c r="G60" s="15"/>
      <c r="H60" s="16">
        <f t="shared" si="24"/>
        <v>41.3</v>
      </c>
      <c r="I60" s="16">
        <f t="shared" si="25"/>
        <v>41.3</v>
      </c>
      <c r="J60" s="2"/>
      <c r="K60" s="2"/>
      <c r="L60" s="2"/>
      <c r="M60" s="2"/>
    </row>
    <row r="61" spans="1:13" ht="15.75">
      <c r="A61" s="21">
        <v>2282</v>
      </c>
      <c r="B61" s="21"/>
      <c r="C61" s="15"/>
      <c r="D61" s="16">
        <v>41.3</v>
      </c>
      <c r="E61" s="15">
        <v>41.3</v>
      </c>
      <c r="F61" s="15"/>
      <c r="G61" s="15"/>
      <c r="H61" s="16">
        <f t="shared" si="24"/>
        <v>41.3</v>
      </c>
      <c r="I61" s="16">
        <f t="shared" si="25"/>
        <v>41.3</v>
      </c>
      <c r="J61" s="2"/>
      <c r="K61" s="2"/>
      <c r="L61" s="2"/>
      <c r="M61" s="2"/>
    </row>
    <row r="62" spans="1:13" ht="15.75">
      <c r="A62" s="21">
        <v>2700</v>
      </c>
      <c r="B62" s="21"/>
      <c r="C62" s="15"/>
      <c r="D62" s="16">
        <f>D63</f>
        <v>0</v>
      </c>
      <c r="E62" s="15"/>
      <c r="F62" s="15"/>
      <c r="G62" s="15"/>
      <c r="H62" s="16">
        <f t="shared" si="24"/>
        <v>0</v>
      </c>
      <c r="I62" s="16">
        <f t="shared" si="25"/>
        <v>0</v>
      </c>
      <c r="J62" s="2"/>
      <c r="K62" s="2"/>
      <c r="L62" s="2"/>
      <c r="M62" s="2"/>
    </row>
    <row r="63" spans="1:13" ht="15.75">
      <c r="A63" s="22">
        <v>2730</v>
      </c>
      <c r="B63" s="21"/>
      <c r="C63" s="15"/>
      <c r="D63" s="16"/>
      <c r="E63" s="15"/>
      <c r="F63" s="15"/>
      <c r="G63" s="15"/>
      <c r="H63" s="16">
        <f t="shared" si="24"/>
        <v>0</v>
      </c>
      <c r="I63" s="16">
        <f t="shared" si="25"/>
        <v>0</v>
      </c>
      <c r="J63" s="2"/>
      <c r="K63" s="2"/>
      <c r="L63" s="2"/>
      <c r="M63" s="2"/>
    </row>
    <row r="64" spans="1:13" ht="15.75">
      <c r="A64" s="22">
        <v>2800</v>
      </c>
      <c r="B64" s="21"/>
      <c r="C64" s="15"/>
      <c r="D64" s="16">
        <v>117.2</v>
      </c>
      <c r="E64" s="15">
        <v>116.4</v>
      </c>
      <c r="F64" s="15">
        <v>0.1</v>
      </c>
      <c r="G64" s="15">
        <v>0.1</v>
      </c>
      <c r="H64" s="16">
        <f t="shared" si="24"/>
        <v>117.3</v>
      </c>
      <c r="I64" s="16">
        <f t="shared" si="25"/>
        <v>116.5</v>
      </c>
      <c r="J64" s="2"/>
      <c r="K64" s="2"/>
      <c r="L64" s="2"/>
      <c r="M64" s="2"/>
    </row>
    <row r="65" spans="1:13" ht="15.75">
      <c r="A65" s="21">
        <v>3000</v>
      </c>
      <c r="B65" s="21"/>
      <c r="C65" s="15"/>
      <c r="D65" s="16"/>
      <c r="E65" s="15"/>
      <c r="F65" s="16">
        <f>F66</f>
        <v>7585.5</v>
      </c>
      <c r="G65" s="16">
        <f>G66</f>
        <v>5969.7000000000007</v>
      </c>
      <c r="H65" s="16">
        <f t="shared" si="24"/>
        <v>7585.5</v>
      </c>
      <c r="I65" s="16">
        <f t="shared" si="25"/>
        <v>5969.7000000000007</v>
      </c>
      <c r="J65" s="2"/>
      <c r="K65" s="2"/>
      <c r="L65" s="2"/>
      <c r="M65" s="2"/>
    </row>
    <row r="66" spans="1:13" ht="15.75">
      <c r="A66" s="21">
        <v>3100</v>
      </c>
      <c r="B66" s="21"/>
      <c r="C66" s="15"/>
      <c r="D66" s="16"/>
      <c r="E66" s="15"/>
      <c r="F66" s="16">
        <f>F67+F68</f>
        <v>7585.5</v>
      </c>
      <c r="G66" s="16">
        <f>G67+G68</f>
        <v>5969.7000000000007</v>
      </c>
      <c r="H66" s="16">
        <f t="shared" si="24"/>
        <v>7585.5</v>
      </c>
      <c r="I66" s="16">
        <f t="shared" si="25"/>
        <v>5969.7000000000007</v>
      </c>
      <c r="J66" s="2"/>
      <c r="K66" s="2"/>
      <c r="L66" s="2"/>
      <c r="M66" s="2"/>
    </row>
    <row r="67" spans="1:13" ht="15.75">
      <c r="A67" s="21">
        <v>3110</v>
      </c>
      <c r="B67" s="21"/>
      <c r="C67" s="15"/>
      <c r="D67" s="16"/>
      <c r="E67" s="15"/>
      <c r="F67" s="16">
        <v>4429.5</v>
      </c>
      <c r="G67" s="15">
        <v>2869.4</v>
      </c>
      <c r="H67" s="16">
        <f t="shared" si="24"/>
        <v>4429.5</v>
      </c>
      <c r="I67" s="16">
        <f t="shared" si="25"/>
        <v>2869.4</v>
      </c>
      <c r="J67" s="2"/>
      <c r="K67" s="2"/>
      <c r="L67" s="48"/>
      <c r="M67" s="2"/>
    </row>
    <row r="68" spans="1:13" ht="15.75">
      <c r="A68" s="21">
        <v>3130</v>
      </c>
      <c r="B68" s="21"/>
      <c r="C68" s="15"/>
      <c r="D68" s="16"/>
      <c r="E68" s="15"/>
      <c r="F68" s="16">
        <f>F69</f>
        <v>3156</v>
      </c>
      <c r="G68" s="16">
        <f>G69</f>
        <v>3100.3</v>
      </c>
      <c r="H68" s="16">
        <f t="shared" si="24"/>
        <v>3156</v>
      </c>
      <c r="I68" s="16">
        <f t="shared" si="25"/>
        <v>3100.3</v>
      </c>
      <c r="J68" s="2"/>
      <c r="K68" s="2"/>
      <c r="L68" s="2"/>
      <c r="M68" s="2"/>
    </row>
    <row r="69" spans="1:13" ht="15.75">
      <c r="A69" s="21">
        <v>3132</v>
      </c>
      <c r="B69" s="21"/>
      <c r="C69" s="15"/>
      <c r="D69" s="16"/>
      <c r="E69" s="15"/>
      <c r="F69" s="16">
        <v>3156</v>
      </c>
      <c r="G69" s="15">
        <v>3100.3</v>
      </c>
      <c r="H69" s="16">
        <f t="shared" si="24"/>
        <v>3156</v>
      </c>
      <c r="I69" s="16">
        <f t="shared" si="25"/>
        <v>3100.3</v>
      </c>
      <c r="J69" s="2"/>
      <c r="K69" s="2"/>
      <c r="L69" s="2"/>
      <c r="M69" s="2"/>
    </row>
    <row r="70" spans="1:13" ht="15.75">
      <c r="A70" s="27" t="s">
        <v>28</v>
      </c>
      <c r="B70" s="28"/>
      <c r="C70" s="29"/>
      <c r="D70" s="30">
        <f>D46</f>
        <v>88085.4</v>
      </c>
      <c r="E70" s="50">
        <f>E46</f>
        <v>85213.4</v>
      </c>
      <c r="F70" s="50">
        <f>F46+F65</f>
        <v>9343.7000000000007</v>
      </c>
      <c r="G70" s="50">
        <f>G46+G65</f>
        <v>7717.2000000000007</v>
      </c>
      <c r="H70" s="30">
        <f t="shared" si="24"/>
        <v>97429.099999999991</v>
      </c>
      <c r="I70" s="30">
        <f t="shared" si="25"/>
        <v>92930.599999999991</v>
      </c>
      <c r="J70" s="2"/>
      <c r="K70" s="2"/>
      <c r="L70" s="2"/>
      <c r="M70" s="2"/>
    </row>
    <row r="71" spans="1:13" ht="30" customHeight="1">
      <c r="A71" s="33">
        <v>1011090</v>
      </c>
      <c r="B71" s="34" t="s">
        <v>31</v>
      </c>
      <c r="C71" s="172" t="s">
        <v>32</v>
      </c>
      <c r="D71" s="172"/>
      <c r="E71" s="172"/>
      <c r="F71" s="172"/>
      <c r="G71" s="172"/>
      <c r="H71" s="172"/>
      <c r="I71" s="172"/>
      <c r="J71" s="20"/>
      <c r="K71" s="20"/>
      <c r="L71" s="2"/>
      <c r="M71" s="2"/>
    </row>
    <row r="72" spans="1:13" ht="15.75">
      <c r="A72" s="21">
        <v>2000</v>
      </c>
      <c r="B72" s="21"/>
      <c r="C72" s="15"/>
      <c r="D72" s="16">
        <f t="shared" ref="D72:I72" si="26">D73+D74+D75+D84</f>
        <v>2029</v>
      </c>
      <c r="E72" s="16">
        <f t="shared" si="26"/>
        <v>2028.3</v>
      </c>
      <c r="F72" s="16">
        <f t="shared" si="26"/>
        <v>0</v>
      </c>
      <c r="G72" s="16">
        <f t="shared" si="26"/>
        <v>0</v>
      </c>
      <c r="H72" s="16">
        <f t="shared" si="26"/>
        <v>2029</v>
      </c>
      <c r="I72" s="16">
        <f t="shared" si="26"/>
        <v>2028.3</v>
      </c>
      <c r="J72" s="2"/>
      <c r="K72" s="2"/>
      <c r="L72" s="2"/>
      <c r="M72" s="2"/>
    </row>
    <row r="73" spans="1:13" ht="15.75">
      <c r="A73" s="21">
        <v>2110</v>
      </c>
      <c r="B73" s="21"/>
      <c r="C73" s="15"/>
      <c r="D73" s="16">
        <v>1564.8</v>
      </c>
      <c r="E73" s="15">
        <v>1564.8</v>
      </c>
      <c r="F73" s="15"/>
      <c r="G73" s="15"/>
      <c r="H73" s="16">
        <f>D73+F73</f>
        <v>1564.8</v>
      </c>
      <c r="I73" s="15">
        <f>E73+G73</f>
        <v>1564.8</v>
      </c>
      <c r="J73" s="2"/>
      <c r="K73" s="2"/>
      <c r="L73" s="2"/>
      <c r="M73" s="2"/>
    </row>
    <row r="74" spans="1:13" ht="15.75">
      <c r="A74" s="21">
        <v>2120</v>
      </c>
      <c r="B74" s="21"/>
      <c r="C74" s="15"/>
      <c r="D74" s="16">
        <v>341.7</v>
      </c>
      <c r="E74" s="15">
        <v>341.1</v>
      </c>
      <c r="F74" s="15"/>
      <c r="G74" s="15"/>
      <c r="H74" s="16">
        <f>D74+F74</f>
        <v>341.7</v>
      </c>
      <c r="I74" s="15">
        <f>E74+G74</f>
        <v>341.1</v>
      </c>
      <c r="J74" s="2"/>
      <c r="K74" s="2"/>
      <c r="L74" s="2"/>
      <c r="M74" s="2"/>
    </row>
    <row r="75" spans="1:13" ht="15.75">
      <c r="A75" s="21">
        <v>2200</v>
      </c>
      <c r="B75" s="21"/>
      <c r="C75" s="15"/>
      <c r="D75" s="16">
        <f t="shared" ref="D75:I75" si="27">D76+D77+D78+D79+D82</f>
        <v>119.69999999999999</v>
      </c>
      <c r="E75" s="16">
        <f t="shared" si="27"/>
        <v>119.6</v>
      </c>
      <c r="F75" s="16">
        <f t="shared" si="27"/>
        <v>0</v>
      </c>
      <c r="G75" s="16">
        <f t="shared" si="27"/>
        <v>0</v>
      </c>
      <c r="H75" s="16">
        <f t="shared" si="27"/>
        <v>119.69999999999999</v>
      </c>
      <c r="I75" s="16">
        <f t="shared" si="27"/>
        <v>119.6</v>
      </c>
      <c r="J75" s="2"/>
      <c r="K75" s="2"/>
      <c r="L75" s="2"/>
      <c r="M75" s="2"/>
    </row>
    <row r="76" spans="1:13" ht="15.75">
      <c r="A76" s="21">
        <v>2210</v>
      </c>
      <c r="B76" s="21"/>
      <c r="C76" s="15"/>
      <c r="D76" s="16">
        <v>2.4</v>
      </c>
      <c r="E76" s="15">
        <v>2.2999999999999998</v>
      </c>
      <c r="F76" s="15"/>
      <c r="G76" s="15"/>
      <c r="H76" s="16">
        <f t="shared" ref="H76:I78" si="28">D76+F76</f>
        <v>2.4</v>
      </c>
      <c r="I76" s="15">
        <f t="shared" si="28"/>
        <v>2.2999999999999998</v>
      </c>
      <c r="J76" s="2"/>
      <c r="K76" s="2"/>
      <c r="L76" s="2"/>
      <c r="M76" s="2"/>
    </row>
    <row r="77" spans="1:13" ht="15.75">
      <c r="A77" s="21">
        <v>2240</v>
      </c>
      <c r="B77" s="21"/>
      <c r="C77" s="15"/>
      <c r="D77" s="16">
        <v>17.399999999999999</v>
      </c>
      <c r="E77" s="15">
        <v>17.399999999999999</v>
      </c>
      <c r="F77" s="15"/>
      <c r="G77" s="15"/>
      <c r="H77" s="16">
        <f t="shared" si="28"/>
        <v>17.399999999999999</v>
      </c>
      <c r="I77" s="15">
        <f t="shared" si="28"/>
        <v>17.399999999999999</v>
      </c>
      <c r="J77" s="2"/>
      <c r="K77" s="2"/>
      <c r="L77" s="2"/>
      <c r="M77" s="2"/>
    </row>
    <row r="78" spans="1:13" ht="15.75">
      <c r="A78" s="21">
        <v>2250</v>
      </c>
      <c r="B78" s="21"/>
      <c r="C78" s="15"/>
      <c r="D78" s="16">
        <v>4.0999999999999996</v>
      </c>
      <c r="E78" s="15">
        <v>4.0999999999999996</v>
      </c>
      <c r="F78" s="15"/>
      <c r="G78" s="15"/>
      <c r="H78" s="16">
        <f t="shared" si="28"/>
        <v>4.0999999999999996</v>
      </c>
      <c r="I78" s="15">
        <f t="shared" si="28"/>
        <v>4.0999999999999996</v>
      </c>
      <c r="J78" s="2"/>
      <c r="K78" s="2"/>
      <c r="L78" s="2"/>
      <c r="M78" s="2"/>
    </row>
    <row r="79" spans="1:13" ht="15.75">
      <c r="A79" s="21">
        <v>2270</v>
      </c>
      <c r="B79" s="21"/>
      <c r="C79" s="15"/>
      <c r="D79" s="16">
        <v>94.7</v>
      </c>
      <c r="E79" s="16">
        <f t="shared" ref="E79:I79" si="29">E80+E81</f>
        <v>94.7</v>
      </c>
      <c r="F79" s="16">
        <f t="shared" si="29"/>
        <v>0</v>
      </c>
      <c r="G79" s="16">
        <f t="shared" si="29"/>
        <v>0</v>
      </c>
      <c r="H79" s="16">
        <f t="shared" si="29"/>
        <v>94.7</v>
      </c>
      <c r="I79" s="16">
        <f t="shared" si="29"/>
        <v>94.7</v>
      </c>
      <c r="J79" s="2"/>
      <c r="K79" s="2"/>
      <c r="L79" s="2"/>
      <c r="M79" s="2"/>
    </row>
    <row r="80" spans="1:13" ht="15.75">
      <c r="A80" s="21">
        <v>2273</v>
      </c>
      <c r="B80" s="21"/>
      <c r="C80" s="15"/>
      <c r="D80" s="16">
        <v>2.9</v>
      </c>
      <c r="E80" s="15">
        <v>2.9</v>
      </c>
      <c r="F80" s="15"/>
      <c r="G80" s="15"/>
      <c r="H80" s="16">
        <f t="shared" ref="H80:I85" si="30">D80+F80</f>
        <v>2.9</v>
      </c>
      <c r="I80" s="15">
        <f t="shared" si="30"/>
        <v>2.9</v>
      </c>
      <c r="J80" s="2"/>
      <c r="K80" s="2"/>
      <c r="L80" s="2"/>
      <c r="M80" s="2"/>
    </row>
    <row r="81" spans="1:13" ht="15.75">
      <c r="A81" s="21">
        <v>2275</v>
      </c>
      <c r="B81" s="21"/>
      <c r="C81" s="15"/>
      <c r="D81" s="16">
        <v>91.8</v>
      </c>
      <c r="E81" s="15">
        <v>91.8</v>
      </c>
      <c r="F81" s="15"/>
      <c r="G81" s="15"/>
      <c r="H81" s="16">
        <f t="shared" si="30"/>
        <v>91.8</v>
      </c>
      <c r="I81" s="15">
        <f t="shared" si="30"/>
        <v>91.8</v>
      </c>
      <c r="J81" s="2"/>
      <c r="K81" s="2"/>
      <c r="L81" s="2"/>
      <c r="M81" s="2"/>
    </row>
    <row r="82" spans="1:13" ht="15.75">
      <c r="A82" s="21">
        <v>2280</v>
      </c>
      <c r="B82" s="21"/>
      <c r="C82" s="15"/>
      <c r="D82" s="16">
        <f>D83</f>
        <v>1.1000000000000001</v>
      </c>
      <c r="E82" s="16">
        <f>E83</f>
        <v>1.1000000000000001</v>
      </c>
      <c r="F82" s="15"/>
      <c r="G82" s="15"/>
      <c r="H82" s="16">
        <f t="shared" si="30"/>
        <v>1.1000000000000001</v>
      </c>
      <c r="I82" s="15">
        <f t="shared" si="30"/>
        <v>1.1000000000000001</v>
      </c>
      <c r="J82" s="2"/>
      <c r="K82" s="2"/>
      <c r="L82" s="2"/>
      <c r="M82" s="2"/>
    </row>
    <row r="83" spans="1:13" ht="15.75">
      <c r="A83" s="21">
        <v>2282</v>
      </c>
      <c r="B83" s="21"/>
      <c r="C83" s="15"/>
      <c r="D83" s="16">
        <v>1.1000000000000001</v>
      </c>
      <c r="E83" s="15">
        <v>1.1000000000000001</v>
      </c>
      <c r="F83" s="15"/>
      <c r="G83" s="15"/>
      <c r="H83" s="16">
        <f t="shared" si="30"/>
        <v>1.1000000000000001</v>
      </c>
      <c r="I83" s="15">
        <f t="shared" si="30"/>
        <v>1.1000000000000001</v>
      </c>
      <c r="J83" s="2"/>
      <c r="K83" s="2"/>
      <c r="L83" s="2"/>
      <c r="M83" s="2"/>
    </row>
    <row r="84" spans="1:13" ht="15.75">
      <c r="A84" s="22">
        <v>2800</v>
      </c>
      <c r="B84" s="21"/>
      <c r="C84" s="15"/>
      <c r="D84" s="16">
        <v>2.8</v>
      </c>
      <c r="E84" s="15">
        <v>2.8</v>
      </c>
      <c r="F84" s="15"/>
      <c r="G84" s="15"/>
      <c r="H84" s="16">
        <f t="shared" si="30"/>
        <v>2.8</v>
      </c>
      <c r="I84" s="15">
        <f t="shared" si="30"/>
        <v>2.8</v>
      </c>
      <c r="J84" s="2"/>
      <c r="K84" s="2"/>
      <c r="L84" s="2"/>
      <c r="M84" s="2"/>
    </row>
    <row r="85" spans="1:13" ht="15.75">
      <c r="A85" s="27" t="s">
        <v>28</v>
      </c>
      <c r="B85" s="28"/>
      <c r="C85" s="29"/>
      <c r="D85" s="30">
        <f>D72</f>
        <v>2029</v>
      </c>
      <c r="E85" s="50">
        <f>E72</f>
        <v>2028.3</v>
      </c>
      <c r="F85" s="30">
        <f>F72</f>
        <v>0</v>
      </c>
      <c r="G85" s="30">
        <f>G72</f>
        <v>0</v>
      </c>
      <c r="H85" s="30">
        <f t="shared" si="30"/>
        <v>2029</v>
      </c>
      <c r="I85" s="29">
        <f t="shared" si="30"/>
        <v>2028.3</v>
      </c>
      <c r="J85" s="2"/>
      <c r="K85" s="2"/>
      <c r="L85" s="2"/>
      <c r="M85" s="2"/>
    </row>
    <row r="86" spans="1:13" ht="27.75" customHeight="1">
      <c r="A86" s="35">
        <v>1011170</v>
      </c>
      <c r="B86" s="35">
        <v>1990</v>
      </c>
      <c r="C86" s="167" t="s">
        <v>34</v>
      </c>
      <c r="D86" s="168"/>
      <c r="E86" s="168"/>
      <c r="F86" s="168"/>
      <c r="G86" s="168"/>
      <c r="H86" s="168"/>
      <c r="I86" s="169"/>
      <c r="J86" s="2"/>
      <c r="K86" s="2"/>
      <c r="L86" s="2"/>
      <c r="M86" s="2"/>
    </row>
    <row r="87" spans="1:13" ht="15.75">
      <c r="A87" s="21">
        <v>2000</v>
      </c>
      <c r="B87" s="21"/>
      <c r="C87" s="15"/>
      <c r="D87" s="16">
        <f>D88+D89+D90+D96</f>
        <v>1673.5</v>
      </c>
      <c r="E87" s="16">
        <f>E88+E89+E90+E96</f>
        <v>1660.6000000000001</v>
      </c>
      <c r="F87" s="16">
        <f>F88+F89+F90+F96</f>
        <v>0</v>
      </c>
      <c r="G87" s="15"/>
      <c r="H87" s="16">
        <f>D87+F87</f>
        <v>1673.5</v>
      </c>
      <c r="I87" s="15">
        <f>E87+G87</f>
        <v>1660.6000000000001</v>
      </c>
      <c r="J87" s="2"/>
      <c r="K87" s="2"/>
      <c r="L87" s="2"/>
      <c r="M87" s="2"/>
    </row>
    <row r="88" spans="1:13" ht="15.75">
      <c r="A88" s="21">
        <v>2110</v>
      </c>
      <c r="B88" s="21"/>
      <c r="C88" s="15"/>
      <c r="D88" s="16">
        <v>1308.5</v>
      </c>
      <c r="E88" s="15">
        <v>1299.5999999999999</v>
      </c>
      <c r="F88" s="15"/>
      <c r="G88" s="15"/>
      <c r="H88" s="16">
        <f t="shared" ref="H88:H101" si="31">D88+F88</f>
        <v>1308.5</v>
      </c>
      <c r="I88" s="15">
        <f t="shared" ref="I88:I101" si="32">E88+G88</f>
        <v>1299.5999999999999</v>
      </c>
      <c r="J88" s="2"/>
      <c r="K88" s="2"/>
      <c r="L88" s="2"/>
      <c r="M88" s="2"/>
    </row>
    <row r="89" spans="1:13" ht="15.75">
      <c r="A89" s="21">
        <v>2120</v>
      </c>
      <c r="B89" s="21"/>
      <c r="C89" s="15"/>
      <c r="D89" s="16">
        <v>279</v>
      </c>
      <c r="E89" s="15">
        <v>276.39999999999998</v>
      </c>
      <c r="F89" s="15"/>
      <c r="G89" s="15"/>
      <c r="H89" s="16">
        <f t="shared" si="31"/>
        <v>279</v>
      </c>
      <c r="I89" s="15">
        <f t="shared" si="32"/>
        <v>276.39999999999998</v>
      </c>
      <c r="J89" s="2"/>
      <c r="K89" s="2"/>
      <c r="L89" s="2"/>
      <c r="M89" s="2"/>
    </row>
    <row r="90" spans="1:13" ht="15.75">
      <c r="A90" s="21">
        <v>2200</v>
      </c>
      <c r="B90" s="21"/>
      <c r="C90" s="15"/>
      <c r="D90" s="16">
        <f>D91+D92+D93+D94</f>
        <v>78.8</v>
      </c>
      <c r="E90" s="16">
        <f>E91+E92+E93+E94</f>
        <v>78.199999999999989</v>
      </c>
      <c r="F90" s="16">
        <f>F91+F92+F93+F94</f>
        <v>0</v>
      </c>
      <c r="G90" s="15"/>
      <c r="H90" s="16">
        <f t="shared" si="31"/>
        <v>78.8</v>
      </c>
      <c r="I90" s="15">
        <f t="shared" si="32"/>
        <v>78.199999999999989</v>
      </c>
      <c r="J90" s="2"/>
      <c r="K90" s="2"/>
      <c r="L90" s="2"/>
      <c r="M90" s="2"/>
    </row>
    <row r="91" spans="1:13" ht="15.75">
      <c r="A91" s="21">
        <v>2210</v>
      </c>
      <c r="B91" s="21"/>
      <c r="C91" s="15"/>
      <c r="D91" s="16">
        <v>62.9</v>
      </c>
      <c r="E91" s="15">
        <v>62.9</v>
      </c>
      <c r="F91" s="15"/>
      <c r="G91" s="15"/>
      <c r="H91" s="16">
        <f t="shared" si="31"/>
        <v>62.9</v>
      </c>
      <c r="I91" s="15">
        <f t="shared" si="32"/>
        <v>62.9</v>
      </c>
      <c r="J91" s="2"/>
      <c r="K91" s="2"/>
      <c r="L91" s="2"/>
      <c r="M91" s="2"/>
    </row>
    <row r="92" spans="1:13" ht="15.75">
      <c r="A92" s="21">
        <v>2240</v>
      </c>
      <c r="B92" s="21"/>
      <c r="C92" s="15"/>
      <c r="D92" s="16">
        <v>11.8</v>
      </c>
      <c r="E92" s="15">
        <v>11.7</v>
      </c>
      <c r="F92" s="15"/>
      <c r="G92" s="15"/>
      <c r="H92" s="16">
        <f t="shared" si="31"/>
        <v>11.8</v>
      </c>
      <c r="I92" s="15">
        <f t="shared" si="32"/>
        <v>11.7</v>
      </c>
      <c r="J92" s="2"/>
      <c r="K92" s="2"/>
      <c r="L92" s="2"/>
      <c r="M92" s="2"/>
    </row>
    <row r="93" spans="1:13" ht="15.75">
      <c r="A93" s="21">
        <v>2250</v>
      </c>
      <c r="B93" s="21"/>
      <c r="C93" s="15"/>
      <c r="D93" s="16">
        <v>3.1</v>
      </c>
      <c r="E93" s="15">
        <v>3.1</v>
      </c>
      <c r="F93" s="15"/>
      <c r="G93" s="15"/>
      <c r="H93" s="16">
        <f t="shared" si="31"/>
        <v>3.1</v>
      </c>
      <c r="I93" s="15">
        <f t="shared" si="32"/>
        <v>3.1</v>
      </c>
      <c r="J93" s="2"/>
      <c r="K93" s="2"/>
      <c r="L93" s="2"/>
      <c r="M93" s="2"/>
    </row>
    <row r="94" spans="1:13" ht="15.75">
      <c r="A94" s="21">
        <v>2280</v>
      </c>
      <c r="B94" s="21"/>
      <c r="C94" s="15"/>
      <c r="D94" s="16">
        <f>D95</f>
        <v>1</v>
      </c>
      <c r="E94" s="15">
        <f>E95</f>
        <v>0.5</v>
      </c>
      <c r="F94" s="15"/>
      <c r="G94" s="15"/>
      <c r="H94" s="16">
        <f t="shared" si="31"/>
        <v>1</v>
      </c>
      <c r="I94" s="15">
        <f t="shared" si="32"/>
        <v>0.5</v>
      </c>
      <c r="J94" s="2"/>
      <c r="K94" s="2"/>
      <c r="L94" s="2"/>
      <c r="M94" s="2"/>
    </row>
    <row r="95" spans="1:13" ht="15.75">
      <c r="A95" s="21">
        <v>2282</v>
      </c>
      <c r="B95" s="21"/>
      <c r="C95" s="15"/>
      <c r="D95" s="16">
        <v>1</v>
      </c>
      <c r="E95" s="15">
        <v>0.5</v>
      </c>
      <c r="F95" s="15"/>
      <c r="G95" s="15"/>
      <c r="H95" s="16">
        <f t="shared" si="31"/>
        <v>1</v>
      </c>
      <c r="I95" s="15">
        <f t="shared" si="32"/>
        <v>0.5</v>
      </c>
      <c r="J95" s="2"/>
      <c r="K95" s="2"/>
      <c r="L95" s="2"/>
      <c r="M95" s="2"/>
    </row>
    <row r="96" spans="1:13" ht="15.75">
      <c r="A96" s="22">
        <v>2700</v>
      </c>
      <c r="B96" s="21"/>
      <c r="C96" s="15"/>
      <c r="D96" s="16">
        <f>D97</f>
        <v>7.2</v>
      </c>
      <c r="E96" s="15">
        <f>E97</f>
        <v>6.4</v>
      </c>
      <c r="F96" s="15"/>
      <c r="G96" s="15"/>
      <c r="H96" s="16">
        <f t="shared" si="31"/>
        <v>7.2</v>
      </c>
      <c r="I96" s="15">
        <f t="shared" si="32"/>
        <v>6.4</v>
      </c>
      <c r="J96" s="2"/>
      <c r="K96" s="2"/>
      <c r="L96" s="2"/>
      <c r="M96" s="2"/>
    </row>
    <row r="97" spans="1:13" ht="15.75">
      <c r="A97" s="21">
        <v>2730</v>
      </c>
      <c r="B97" s="21"/>
      <c r="C97" s="15"/>
      <c r="D97" s="16">
        <v>7.2</v>
      </c>
      <c r="E97" s="15">
        <v>6.4</v>
      </c>
      <c r="F97" s="15"/>
      <c r="G97" s="15"/>
      <c r="H97" s="16">
        <f t="shared" si="31"/>
        <v>7.2</v>
      </c>
      <c r="I97" s="15">
        <f t="shared" si="32"/>
        <v>6.4</v>
      </c>
      <c r="J97" s="2"/>
      <c r="K97" s="2"/>
      <c r="L97" s="2"/>
      <c r="M97" s="2"/>
    </row>
    <row r="98" spans="1:13" ht="15.75">
      <c r="A98" s="21">
        <v>3000</v>
      </c>
      <c r="B98" s="21"/>
      <c r="C98" s="15"/>
      <c r="D98" s="16"/>
      <c r="E98" s="16"/>
      <c r="F98" s="16">
        <f>F99</f>
        <v>25.4</v>
      </c>
      <c r="G98" s="16">
        <f>G99</f>
        <v>25.3</v>
      </c>
      <c r="H98" s="16">
        <f t="shared" si="31"/>
        <v>25.4</v>
      </c>
      <c r="I98" s="15">
        <f t="shared" si="32"/>
        <v>25.3</v>
      </c>
      <c r="J98" s="2"/>
      <c r="K98" s="2"/>
      <c r="L98" s="2"/>
      <c r="M98" s="2"/>
    </row>
    <row r="99" spans="1:13" ht="15.75">
      <c r="A99" s="21">
        <v>3100</v>
      </c>
      <c r="B99" s="21"/>
      <c r="C99" s="15"/>
      <c r="D99" s="16"/>
      <c r="E99" s="16"/>
      <c r="F99" s="16">
        <f>F100</f>
        <v>25.4</v>
      </c>
      <c r="G99" s="16">
        <f>G100</f>
        <v>25.3</v>
      </c>
      <c r="H99" s="16">
        <f t="shared" si="31"/>
        <v>25.4</v>
      </c>
      <c r="I99" s="15">
        <f t="shared" si="32"/>
        <v>25.3</v>
      </c>
      <c r="J99" s="2"/>
      <c r="K99" s="2"/>
      <c r="L99" s="2"/>
      <c r="M99" s="2"/>
    </row>
    <row r="100" spans="1:13" ht="15.75">
      <c r="A100" s="21">
        <v>3110</v>
      </c>
      <c r="B100" s="21"/>
      <c r="C100" s="15"/>
      <c r="D100" s="16"/>
      <c r="E100" s="15"/>
      <c r="F100" s="16">
        <v>25.4</v>
      </c>
      <c r="G100" s="15">
        <v>25.3</v>
      </c>
      <c r="H100" s="16">
        <f t="shared" si="31"/>
        <v>25.4</v>
      </c>
      <c r="I100" s="15">
        <f t="shared" si="32"/>
        <v>25.3</v>
      </c>
      <c r="J100" s="2"/>
      <c r="K100" s="2"/>
      <c r="L100" s="2"/>
      <c r="M100" s="2"/>
    </row>
    <row r="101" spans="1:13" ht="15.75">
      <c r="A101" s="27" t="s">
        <v>28</v>
      </c>
      <c r="B101" s="28"/>
      <c r="C101" s="49"/>
      <c r="D101" s="50">
        <f>D87+D98</f>
        <v>1673.5</v>
      </c>
      <c r="E101" s="50">
        <f>E87+E98</f>
        <v>1660.6000000000001</v>
      </c>
      <c r="F101" s="50">
        <f>F87+F98</f>
        <v>25.4</v>
      </c>
      <c r="G101" s="50">
        <f>G87+G98</f>
        <v>25.3</v>
      </c>
      <c r="H101" s="50">
        <f t="shared" si="31"/>
        <v>1698.9</v>
      </c>
      <c r="I101" s="49">
        <f t="shared" si="32"/>
        <v>1685.9</v>
      </c>
      <c r="J101" s="2"/>
      <c r="K101" s="2"/>
      <c r="L101" s="2"/>
      <c r="M101" s="2"/>
    </row>
    <row r="102" spans="1:13" ht="15.75" customHeight="1">
      <c r="A102" s="33">
        <v>1011190</v>
      </c>
      <c r="B102" s="34" t="s">
        <v>33</v>
      </c>
      <c r="C102" s="173" t="s">
        <v>35</v>
      </c>
      <c r="D102" s="174"/>
      <c r="E102" s="174"/>
      <c r="F102" s="174"/>
      <c r="G102" s="174"/>
      <c r="H102" s="174"/>
      <c r="I102" s="174"/>
      <c r="J102" s="36"/>
      <c r="K102" s="36"/>
      <c r="L102" s="2"/>
      <c r="M102" s="2"/>
    </row>
    <row r="103" spans="1:13" ht="15.75">
      <c r="A103" s="21">
        <v>2000</v>
      </c>
      <c r="B103" s="21"/>
      <c r="C103" s="15"/>
      <c r="D103" s="16">
        <f>D104+D105+D106+D116</f>
        <v>1561.8999999999999</v>
      </c>
      <c r="E103" s="16">
        <f>E104+E105+E106+E116</f>
        <v>1560.9</v>
      </c>
      <c r="F103" s="16">
        <f>F104+F105+F106+F116</f>
        <v>0</v>
      </c>
      <c r="G103" s="15"/>
      <c r="H103" s="16">
        <f t="shared" ref="H103:H120" si="33">D103+F103</f>
        <v>1561.8999999999999</v>
      </c>
      <c r="I103" s="15">
        <f t="shared" ref="I103:I120" si="34">E103+G103</f>
        <v>1560.9</v>
      </c>
      <c r="J103" s="2"/>
      <c r="K103" s="2"/>
      <c r="L103" s="2"/>
      <c r="M103" s="2"/>
    </row>
    <row r="104" spans="1:13" ht="15.75">
      <c r="A104" s="21">
        <v>2110</v>
      </c>
      <c r="B104" s="21"/>
      <c r="C104" s="15"/>
      <c r="D104" s="16">
        <v>936.4</v>
      </c>
      <c r="E104" s="15">
        <v>936.4</v>
      </c>
      <c r="F104" s="15"/>
      <c r="G104" s="15"/>
      <c r="H104" s="16">
        <f t="shared" si="33"/>
        <v>936.4</v>
      </c>
      <c r="I104" s="15">
        <f t="shared" si="34"/>
        <v>936.4</v>
      </c>
      <c r="J104" s="2"/>
      <c r="K104" s="2"/>
      <c r="L104" s="2"/>
      <c r="M104" s="2"/>
    </row>
    <row r="105" spans="1:13" ht="15.75">
      <c r="A105" s="21">
        <v>2120</v>
      </c>
      <c r="B105" s="21"/>
      <c r="C105" s="15"/>
      <c r="D105" s="16">
        <v>200.2</v>
      </c>
      <c r="E105" s="15">
        <v>200.2</v>
      </c>
      <c r="F105" s="15"/>
      <c r="G105" s="15"/>
      <c r="H105" s="16">
        <f t="shared" si="33"/>
        <v>200.2</v>
      </c>
      <c r="I105" s="15">
        <f t="shared" si="34"/>
        <v>200.2</v>
      </c>
      <c r="J105" s="2"/>
      <c r="K105" s="2"/>
      <c r="L105" s="2"/>
      <c r="M105" s="2"/>
    </row>
    <row r="106" spans="1:13" ht="15.75">
      <c r="A106" s="21">
        <v>2200</v>
      </c>
      <c r="B106" s="21"/>
      <c r="C106" s="15"/>
      <c r="D106" s="16">
        <f>D107+D108+D109+D110+D114</f>
        <v>424.79999999999995</v>
      </c>
      <c r="E106" s="16">
        <f>E107+E108+E109+E110+E114</f>
        <v>423.9</v>
      </c>
      <c r="F106" s="16">
        <f>F107+F108+F109+F110+F114</f>
        <v>0</v>
      </c>
      <c r="G106" s="15"/>
      <c r="H106" s="16">
        <f t="shared" si="33"/>
        <v>424.79999999999995</v>
      </c>
      <c r="I106" s="15">
        <f t="shared" si="34"/>
        <v>423.9</v>
      </c>
      <c r="J106" s="2"/>
      <c r="K106" s="2"/>
      <c r="L106" s="2"/>
      <c r="M106" s="2"/>
    </row>
    <row r="107" spans="1:13" ht="15.75">
      <c r="A107" s="21">
        <v>2210</v>
      </c>
      <c r="B107" s="21"/>
      <c r="C107" s="15"/>
      <c r="D107" s="16">
        <v>21.7</v>
      </c>
      <c r="E107" s="15">
        <v>21.7</v>
      </c>
      <c r="F107" s="15"/>
      <c r="G107" s="15"/>
      <c r="H107" s="16">
        <f t="shared" si="33"/>
        <v>21.7</v>
      </c>
      <c r="I107" s="15">
        <f t="shared" si="34"/>
        <v>21.7</v>
      </c>
      <c r="J107" s="2"/>
      <c r="K107" s="2"/>
      <c r="L107" s="2"/>
      <c r="M107" s="2"/>
    </row>
    <row r="108" spans="1:13" ht="15.75">
      <c r="A108" s="21">
        <v>2240</v>
      </c>
      <c r="B108" s="21"/>
      <c r="C108" s="15"/>
      <c r="D108" s="16">
        <v>263.39999999999998</v>
      </c>
      <c r="E108" s="15">
        <v>263.3</v>
      </c>
      <c r="F108" s="15"/>
      <c r="G108" s="15"/>
      <c r="H108" s="16">
        <f t="shared" si="33"/>
        <v>263.39999999999998</v>
      </c>
      <c r="I108" s="15">
        <f t="shared" si="34"/>
        <v>263.3</v>
      </c>
      <c r="J108" s="2"/>
      <c r="K108" s="2"/>
      <c r="L108" s="2"/>
      <c r="M108" s="2"/>
    </row>
    <row r="109" spans="1:13" ht="15.75">
      <c r="A109" s="21">
        <v>2250</v>
      </c>
      <c r="B109" s="21"/>
      <c r="C109" s="15"/>
      <c r="D109" s="16">
        <v>4.5</v>
      </c>
      <c r="E109" s="15">
        <v>4.5</v>
      </c>
      <c r="F109" s="15"/>
      <c r="G109" s="15"/>
      <c r="H109" s="16">
        <f t="shared" si="33"/>
        <v>4.5</v>
      </c>
      <c r="I109" s="15">
        <f t="shared" si="34"/>
        <v>4.5</v>
      </c>
      <c r="J109" s="2"/>
      <c r="K109" s="2"/>
      <c r="L109" s="2"/>
      <c r="M109" s="2"/>
    </row>
    <row r="110" spans="1:13" ht="15.75">
      <c r="A110" s="21">
        <v>2270</v>
      </c>
      <c r="B110" s="21"/>
      <c r="C110" s="15"/>
      <c r="D110" s="16">
        <f>D111+D112+D113</f>
        <v>134.30000000000001</v>
      </c>
      <c r="E110" s="16">
        <f>E111+E112+E113</f>
        <v>133.5</v>
      </c>
      <c r="F110" s="16">
        <f>F111+F112+F113</f>
        <v>0</v>
      </c>
      <c r="G110" s="15"/>
      <c r="H110" s="16">
        <f t="shared" si="33"/>
        <v>134.30000000000001</v>
      </c>
      <c r="I110" s="15">
        <f t="shared" si="34"/>
        <v>133.5</v>
      </c>
      <c r="J110" s="2"/>
      <c r="K110" s="2"/>
      <c r="L110" s="2"/>
      <c r="M110" s="2"/>
    </row>
    <row r="111" spans="1:13" ht="15.75">
      <c r="A111" s="21">
        <v>2271</v>
      </c>
      <c r="B111" s="21"/>
      <c r="C111" s="15"/>
      <c r="D111" s="16">
        <v>87</v>
      </c>
      <c r="E111" s="16">
        <v>87</v>
      </c>
      <c r="F111" s="15"/>
      <c r="G111" s="15"/>
      <c r="H111" s="16">
        <f t="shared" si="33"/>
        <v>87</v>
      </c>
      <c r="I111" s="16">
        <f t="shared" si="34"/>
        <v>87</v>
      </c>
      <c r="J111" s="2"/>
      <c r="K111" s="2"/>
      <c r="L111" s="2"/>
      <c r="M111" s="2"/>
    </row>
    <row r="112" spans="1:13" ht="15.75">
      <c r="A112" s="21">
        <v>2272</v>
      </c>
      <c r="B112" s="21"/>
      <c r="C112" s="15"/>
      <c r="D112" s="16">
        <v>4.9000000000000004</v>
      </c>
      <c r="E112" s="15">
        <v>4.9000000000000004</v>
      </c>
      <c r="F112" s="15"/>
      <c r="G112" s="15"/>
      <c r="H112" s="16">
        <f t="shared" si="33"/>
        <v>4.9000000000000004</v>
      </c>
      <c r="I112" s="15">
        <f t="shared" si="34"/>
        <v>4.9000000000000004</v>
      </c>
      <c r="J112" s="2"/>
      <c r="K112" s="2"/>
      <c r="L112" s="2"/>
      <c r="M112" s="2"/>
    </row>
    <row r="113" spans="1:13" ht="15.75">
      <c r="A113" s="21">
        <v>2273</v>
      </c>
      <c r="B113" s="21"/>
      <c r="C113" s="15"/>
      <c r="D113" s="16">
        <v>42.4</v>
      </c>
      <c r="E113" s="16">
        <v>41.6</v>
      </c>
      <c r="F113" s="15"/>
      <c r="G113" s="15"/>
      <c r="H113" s="16">
        <f t="shared" si="33"/>
        <v>42.4</v>
      </c>
      <c r="I113" s="15">
        <f t="shared" si="34"/>
        <v>41.6</v>
      </c>
      <c r="J113" s="2"/>
      <c r="K113" s="2"/>
      <c r="L113" s="2"/>
      <c r="M113" s="2"/>
    </row>
    <row r="114" spans="1:13" ht="15.75">
      <c r="A114" s="21">
        <v>2280</v>
      </c>
      <c r="B114" s="21"/>
      <c r="C114" s="15"/>
      <c r="D114" s="16">
        <f>D115</f>
        <v>0.9</v>
      </c>
      <c r="E114" s="16">
        <f t="shared" ref="E114" si="35">E115</f>
        <v>0.9</v>
      </c>
      <c r="F114" s="15"/>
      <c r="G114" s="15"/>
      <c r="H114" s="16">
        <f t="shared" si="33"/>
        <v>0.9</v>
      </c>
      <c r="I114" s="15">
        <f t="shared" si="34"/>
        <v>0.9</v>
      </c>
      <c r="J114" s="2"/>
      <c r="K114" s="2"/>
      <c r="L114" s="2"/>
      <c r="M114" s="2"/>
    </row>
    <row r="115" spans="1:13" ht="15.75">
      <c r="A115" s="21">
        <v>2282</v>
      </c>
      <c r="B115" s="21"/>
      <c r="C115" s="15"/>
      <c r="D115" s="16">
        <v>0.9</v>
      </c>
      <c r="E115" s="15">
        <v>0.9</v>
      </c>
      <c r="F115" s="15"/>
      <c r="G115" s="15"/>
      <c r="H115" s="16">
        <f t="shared" si="33"/>
        <v>0.9</v>
      </c>
      <c r="I115" s="15">
        <f t="shared" si="34"/>
        <v>0.9</v>
      </c>
      <c r="J115" s="2"/>
      <c r="K115" s="2"/>
      <c r="L115" s="2"/>
      <c r="M115" s="2"/>
    </row>
    <row r="116" spans="1:13" ht="15.75">
      <c r="A116" s="22">
        <v>2800</v>
      </c>
      <c r="B116" s="21"/>
      <c r="C116" s="15"/>
      <c r="D116" s="16">
        <v>0.5</v>
      </c>
      <c r="E116" s="15">
        <v>0.4</v>
      </c>
      <c r="F116" s="15"/>
      <c r="G116" s="15"/>
      <c r="H116" s="16">
        <f t="shared" si="33"/>
        <v>0.5</v>
      </c>
      <c r="I116" s="15">
        <f t="shared" si="34"/>
        <v>0.4</v>
      </c>
      <c r="J116" s="2"/>
      <c r="K116" s="2"/>
      <c r="L116" s="2"/>
      <c r="M116" s="2"/>
    </row>
    <row r="117" spans="1:13" ht="15.75">
      <c r="A117" s="21">
        <v>3000</v>
      </c>
      <c r="B117" s="21"/>
      <c r="C117" s="15"/>
      <c r="D117" s="16"/>
      <c r="E117" s="16"/>
      <c r="F117" s="16">
        <f>F118</f>
        <v>27.2</v>
      </c>
      <c r="G117" s="16">
        <f>G118</f>
        <v>27.2</v>
      </c>
      <c r="H117" s="16">
        <f t="shared" si="33"/>
        <v>27.2</v>
      </c>
      <c r="I117" s="15">
        <f t="shared" si="34"/>
        <v>27.2</v>
      </c>
      <c r="J117" s="2"/>
      <c r="K117" s="2"/>
      <c r="L117" s="2"/>
      <c r="M117" s="2"/>
    </row>
    <row r="118" spans="1:13" ht="15.75">
      <c r="A118" s="21">
        <v>3100</v>
      </c>
      <c r="B118" s="21"/>
      <c r="C118" s="15"/>
      <c r="D118" s="16"/>
      <c r="E118" s="16"/>
      <c r="F118" s="16">
        <f>F119</f>
        <v>27.2</v>
      </c>
      <c r="G118" s="16">
        <f>G119</f>
        <v>27.2</v>
      </c>
      <c r="H118" s="16">
        <f t="shared" si="33"/>
        <v>27.2</v>
      </c>
      <c r="I118" s="15">
        <f t="shared" si="34"/>
        <v>27.2</v>
      </c>
      <c r="J118" s="2"/>
      <c r="K118" s="2"/>
      <c r="L118" s="2"/>
      <c r="M118" s="2"/>
    </row>
    <row r="119" spans="1:13" ht="15.75">
      <c r="A119" s="21">
        <v>3110</v>
      </c>
      <c r="B119" s="21"/>
      <c r="C119" s="15"/>
      <c r="D119" s="16"/>
      <c r="E119" s="16"/>
      <c r="F119" s="16">
        <v>27.2</v>
      </c>
      <c r="G119" s="16">
        <v>27.2</v>
      </c>
      <c r="H119" s="16">
        <f t="shared" si="33"/>
        <v>27.2</v>
      </c>
      <c r="I119" s="15">
        <f t="shared" si="34"/>
        <v>27.2</v>
      </c>
      <c r="J119" s="2"/>
      <c r="K119" s="2"/>
      <c r="L119" s="2"/>
      <c r="M119" s="2"/>
    </row>
    <row r="120" spans="1:13" ht="15.75">
      <c r="A120" s="27" t="s">
        <v>28</v>
      </c>
      <c r="B120" s="28"/>
      <c r="C120" s="29"/>
      <c r="D120" s="30">
        <f>D103+D117</f>
        <v>1561.8999999999999</v>
      </c>
      <c r="E120" s="50">
        <f>E103+E117</f>
        <v>1560.9</v>
      </c>
      <c r="F120" s="50">
        <f>F103+F117</f>
        <v>27.2</v>
      </c>
      <c r="G120" s="50">
        <f>G103+G117</f>
        <v>27.2</v>
      </c>
      <c r="H120" s="30">
        <f t="shared" si="33"/>
        <v>1589.1</v>
      </c>
      <c r="I120" s="29">
        <f t="shared" si="34"/>
        <v>1588.1000000000001</v>
      </c>
      <c r="J120" s="2"/>
      <c r="K120" s="2"/>
      <c r="L120" s="2"/>
      <c r="M120" s="2"/>
    </row>
    <row r="121" spans="1:13" ht="15.75" customHeight="1">
      <c r="A121" s="33">
        <v>1011200</v>
      </c>
      <c r="B121" s="34" t="s">
        <v>33</v>
      </c>
      <c r="C121" s="165" t="s">
        <v>36</v>
      </c>
      <c r="D121" s="165"/>
      <c r="E121" s="165"/>
      <c r="F121" s="165"/>
      <c r="G121" s="165"/>
      <c r="H121" s="165"/>
      <c r="I121" s="165"/>
      <c r="J121" s="36"/>
      <c r="K121" s="36"/>
      <c r="L121" s="2"/>
      <c r="M121" s="2"/>
    </row>
    <row r="122" spans="1:13" ht="15.75">
      <c r="A122" s="21">
        <v>2000</v>
      </c>
      <c r="B122" s="21"/>
      <c r="C122" s="15"/>
      <c r="D122" s="16">
        <f>D123+D124+D125</f>
        <v>774.2</v>
      </c>
      <c r="E122" s="16">
        <f>E123+E124+E125</f>
        <v>773.9</v>
      </c>
      <c r="F122" s="16">
        <f>F123+F124+F125+F131</f>
        <v>15.700000000000001</v>
      </c>
      <c r="G122" s="16">
        <f>G123+G124+G125+G131</f>
        <v>15.700000000000001</v>
      </c>
      <c r="H122" s="16">
        <f>D122+F122</f>
        <v>789.90000000000009</v>
      </c>
      <c r="I122" s="15">
        <f>E122+G122</f>
        <v>789.6</v>
      </c>
      <c r="J122" s="2"/>
      <c r="K122" s="2"/>
      <c r="L122" s="2"/>
      <c r="M122" s="2"/>
    </row>
    <row r="123" spans="1:13" ht="15.75">
      <c r="A123" s="21">
        <v>2110</v>
      </c>
      <c r="B123" s="21"/>
      <c r="C123" s="15"/>
      <c r="D123" s="16">
        <v>610.5</v>
      </c>
      <c r="E123" s="15">
        <v>610.4</v>
      </c>
      <c r="F123" s="15"/>
      <c r="G123" s="15"/>
      <c r="H123" s="16">
        <f t="shared" ref="H123:H135" si="36">D123+F123</f>
        <v>610.5</v>
      </c>
      <c r="I123" s="15">
        <f t="shared" ref="I123:I135" si="37">E123+G123</f>
        <v>610.4</v>
      </c>
      <c r="J123" s="2"/>
      <c r="K123" s="2"/>
      <c r="L123" s="2"/>
      <c r="M123" s="2"/>
    </row>
    <row r="124" spans="1:13" ht="15.75">
      <c r="A124" s="21">
        <v>2120</v>
      </c>
      <c r="B124" s="21"/>
      <c r="C124" s="15"/>
      <c r="D124" s="16">
        <v>137.5</v>
      </c>
      <c r="E124" s="15">
        <v>137.5</v>
      </c>
      <c r="F124" s="15"/>
      <c r="G124" s="15"/>
      <c r="H124" s="16">
        <f t="shared" si="36"/>
        <v>137.5</v>
      </c>
      <c r="I124" s="15">
        <f t="shared" si="37"/>
        <v>137.5</v>
      </c>
      <c r="J124" s="2"/>
      <c r="K124" s="2"/>
      <c r="L124" s="2"/>
      <c r="M124" s="2"/>
    </row>
    <row r="125" spans="1:13" ht="15.75">
      <c r="A125" s="21">
        <v>2200</v>
      </c>
      <c r="B125" s="21"/>
      <c r="C125" s="15"/>
      <c r="D125" s="16">
        <f>D126+D127+D128+D129</f>
        <v>26.2</v>
      </c>
      <c r="E125" s="16">
        <f>E126+E127+E128+E129</f>
        <v>26.000000000000004</v>
      </c>
      <c r="F125" s="16">
        <f>F126+F127+F128+F129</f>
        <v>14.9</v>
      </c>
      <c r="G125" s="16">
        <f>G126+G127+G128+G129</f>
        <v>14.9</v>
      </c>
      <c r="H125" s="16">
        <f t="shared" si="36"/>
        <v>41.1</v>
      </c>
      <c r="I125" s="15">
        <f t="shared" si="37"/>
        <v>40.900000000000006</v>
      </c>
      <c r="J125" s="2"/>
      <c r="K125" s="2"/>
      <c r="L125" s="2"/>
      <c r="M125" s="2"/>
    </row>
    <row r="126" spans="1:13" ht="15.75">
      <c r="A126" s="21">
        <v>2210</v>
      </c>
      <c r="B126" s="21"/>
      <c r="C126" s="15"/>
      <c r="D126" s="16">
        <v>9</v>
      </c>
      <c r="E126" s="16">
        <v>9</v>
      </c>
      <c r="F126" s="16">
        <v>1</v>
      </c>
      <c r="G126" s="16">
        <v>1</v>
      </c>
      <c r="H126" s="16">
        <f t="shared" si="36"/>
        <v>10</v>
      </c>
      <c r="I126" s="15">
        <f t="shared" si="37"/>
        <v>10</v>
      </c>
      <c r="J126" s="2"/>
      <c r="K126" s="2"/>
      <c r="L126" s="2"/>
      <c r="M126" s="2"/>
    </row>
    <row r="127" spans="1:13" ht="15.75">
      <c r="A127" s="21">
        <v>2240</v>
      </c>
      <c r="B127" s="21"/>
      <c r="C127" s="15"/>
      <c r="D127" s="16">
        <v>12.6</v>
      </c>
      <c r="E127" s="15">
        <v>12.6</v>
      </c>
      <c r="F127" s="15">
        <v>13.9</v>
      </c>
      <c r="G127" s="15">
        <v>13.9</v>
      </c>
      <c r="H127" s="16">
        <f t="shared" si="36"/>
        <v>26.5</v>
      </c>
      <c r="I127" s="15">
        <f t="shared" si="37"/>
        <v>26.5</v>
      </c>
      <c r="J127" s="2"/>
      <c r="K127" s="2"/>
      <c r="L127" s="2"/>
      <c r="M127" s="2"/>
    </row>
    <row r="128" spans="1:13" ht="15.75">
      <c r="A128" s="21">
        <v>2250</v>
      </c>
      <c r="B128" s="21"/>
      <c r="C128" s="15"/>
      <c r="D128" s="16">
        <v>2.4</v>
      </c>
      <c r="E128" s="15">
        <v>2.2999999999999998</v>
      </c>
      <c r="F128" s="15"/>
      <c r="G128" s="15"/>
      <c r="H128" s="16">
        <f t="shared" si="36"/>
        <v>2.4</v>
      </c>
      <c r="I128" s="15">
        <f t="shared" si="37"/>
        <v>2.2999999999999998</v>
      </c>
      <c r="J128" s="2"/>
      <c r="K128" s="2"/>
      <c r="L128" s="2"/>
      <c r="M128" s="2"/>
    </row>
    <row r="129" spans="1:13" ht="15.75">
      <c r="A129" s="21">
        <v>2280</v>
      </c>
      <c r="B129" s="21"/>
      <c r="C129" s="15"/>
      <c r="D129" s="16">
        <f>D130</f>
        <v>2.2000000000000002</v>
      </c>
      <c r="E129" s="15">
        <f>E130</f>
        <v>2.1</v>
      </c>
      <c r="F129" s="15"/>
      <c r="G129" s="15"/>
      <c r="H129" s="16">
        <f t="shared" si="36"/>
        <v>2.2000000000000002</v>
      </c>
      <c r="I129" s="15">
        <f t="shared" si="37"/>
        <v>2.1</v>
      </c>
      <c r="J129" s="2"/>
      <c r="K129" s="2"/>
      <c r="L129" s="2"/>
      <c r="M129" s="2"/>
    </row>
    <row r="130" spans="1:13" ht="15.75">
      <c r="A130" s="21">
        <v>2282</v>
      </c>
      <c r="B130" s="21"/>
      <c r="C130" s="15"/>
      <c r="D130" s="16">
        <v>2.2000000000000002</v>
      </c>
      <c r="E130" s="15">
        <v>2.1</v>
      </c>
      <c r="F130" s="15"/>
      <c r="G130" s="15"/>
      <c r="H130" s="16">
        <f t="shared" si="36"/>
        <v>2.2000000000000002</v>
      </c>
      <c r="I130" s="15">
        <f t="shared" si="37"/>
        <v>2.1</v>
      </c>
      <c r="J130" s="2"/>
      <c r="K130" s="2"/>
      <c r="L130" s="2"/>
      <c r="M130" s="2"/>
    </row>
    <row r="131" spans="1:13" ht="15.75">
      <c r="A131" s="21">
        <v>2800</v>
      </c>
      <c r="B131" s="21"/>
      <c r="C131" s="15"/>
      <c r="D131" s="16"/>
      <c r="E131" s="15"/>
      <c r="F131" s="15">
        <v>0.8</v>
      </c>
      <c r="G131" s="15">
        <v>0.8</v>
      </c>
      <c r="H131" s="16">
        <f t="shared" si="36"/>
        <v>0.8</v>
      </c>
      <c r="I131" s="15">
        <f t="shared" si="37"/>
        <v>0.8</v>
      </c>
      <c r="J131" s="2"/>
      <c r="K131" s="2"/>
      <c r="L131" s="2"/>
      <c r="M131" s="2"/>
    </row>
    <row r="132" spans="1:13" ht="15.75">
      <c r="A132" s="21">
        <v>3000</v>
      </c>
      <c r="B132" s="21"/>
      <c r="C132" s="15"/>
      <c r="D132" s="16"/>
      <c r="E132" s="16"/>
      <c r="F132" s="16">
        <f>F133</f>
        <v>31.4</v>
      </c>
      <c r="G132" s="16">
        <f>G133</f>
        <v>31.4</v>
      </c>
      <c r="H132" s="16">
        <f t="shared" si="36"/>
        <v>31.4</v>
      </c>
      <c r="I132" s="15">
        <f t="shared" si="37"/>
        <v>31.4</v>
      </c>
      <c r="J132" s="2"/>
      <c r="K132" s="2"/>
      <c r="L132" s="2"/>
      <c r="M132" s="2"/>
    </row>
    <row r="133" spans="1:13" ht="15.75">
      <c r="A133" s="21">
        <v>3100</v>
      </c>
      <c r="B133" s="21"/>
      <c r="C133" s="15"/>
      <c r="D133" s="16"/>
      <c r="E133" s="16"/>
      <c r="F133" s="16">
        <f>F134</f>
        <v>31.4</v>
      </c>
      <c r="G133" s="16">
        <f>G134</f>
        <v>31.4</v>
      </c>
      <c r="H133" s="16">
        <f t="shared" si="36"/>
        <v>31.4</v>
      </c>
      <c r="I133" s="15">
        <f t="shared" si="37"/>
        <v>31.4</v>
      </c>
      <c r="J133" s="2"/>
      <c r="K133" s="2"/>
      <c r="L133" s="2"/>
      <c r="M133" s="2"/>
    </row>
    <row r="134" spans="1:13" ht="15.75">
      <c r="A134" s="21">
        <v>3110</v>
      </c>
      <c r="B134" s="21"/>
      <c r="C134" s="15"/>
      <c r="D134" s="16"/>
      <c r="E134" s="15"/>
      <c r="F134" s="15">
        <v>31.4</v>
      </c>
      <c r="G134" s="15">
        <v>31.4</v>
      </c>
      <c r="H134" s="16">
        <f t="shared" si="36"/>
        <v>31.4</v>
      </c>
      <c r="I134" s="15">
        <f t="shared" si="37"/>
        <v>31.4</v>
      </c>
      <c r="J134" s="2"/>
      <c r="K134" s="2"/>
      <c r="L134" s="2"/>
      <c r="M134" s="2"/>
    </row>
    <row r="135" spans="1:13" ht="15.75">
      <c r="A135" s="27" t="s">
        <v>28</v>
      </c>
      <c r="B135" s="28"/>
      <c r="C135" s="29"/>
      <c r="D135" s="30">
        <f>D122+D132</f>
        <v>774.2</v>
      </c>
      <c r="E135" s="50">
        <f>E122+E132</f>
        <v>773.9</v>
      </c>
      <c r="F135" s="50">
        <f>F122+F132</f>
        <v>47.1</v>
      </c>
      <c r="G135" s="50">
        <f>G122+G132</f>
        <v>47.1</v>
      </c>
      <c r="H135" s="30">
        <f t="shared" si="36"/>
        <v>821.30000000000007</v>
      </c>
      <c r="I135" s="30">
        <f t="shared" si="37"/>
        <v>821</v>
      </c>
      <c r="J135" s="2"/>
      <c r="K135" s="2"/>
      <c r="L135" s="2"/>
      <c r="M135" s="2"/>
    </row>
    <row r="136" spans="1:13" ht="15.75" customHeight="1">
      <c r="A136" s="33">
        <v>1011210</v>
      </c>
      <c r="B136" s="34" t="s">
        <v>33</v>
      </c>
      <c r="C136" s="166" t="s">
        <v>37</v>
      </c>
      <c r="D136" s="163"/>
      <c r="E136" s="163"/>
      <c r="F136" s="163"/>
      <c r="G136" s="163"/>
      <c r="H136" s="163"/>
      <c r="I136" s="163"/>
      <c r="J136" s="38"/>
      <c r="K136" s="38"/>
      <c r="L136" s="2"/>
      <c r="M136" s="2"/>
    </row>
    <row r="137" spans="1:13" ht="15.75">
      <c r="A137" s="21">
        <v>2000</v>
      </c>
      <c r="B137" s="21"/>
      <c r="C137" s="15"/>
      <c r="D137" s="16">
        <f>D138+D139+D140</f>
        <v>1445.6</v>
      </c>
      <c r="E137" s="16">
        <f>E138+E139+E140</f>
        <v>1445.2</v>
      </c>
      <c r="F137" s="16">
        <f>F138+F139+F140+F150</f>
        <v>818.4</v>
      </c>
      <c r="G137" s="16">
        <f>G138+G139+G140+G150</f>
        <v>787.59999999999991</v>
      </c>
      <c r="H137" s="16">
        <f>D137+F137</f>
        <v>2264</v>
      </c>
      <c r="I137" s="15">
        <f>E137+G137</f>
        <v>2232.8000000000002</v>
      </c>
      <c r="J137" s="2"/>
      <c r="K137" s="2"/>
      <c r="L137" s="2"/>
      <c r="M137" s="2"/>
    </row>
    <row r="138" spans="1:13" ht="15.75">
      <c r="A138" s="21">
        <v>2110</v>
      </c>
      <c r="B138" s="21"/>
      <c r="C138" s="15"/>
      <c r="D138" s="16">
        <v>1173.2</v>
      </c>
      <c r="E138" s="15">
        <v>1173.2</v>
      </c>
      <c r="F138" s="15">
        <v>10.3</v>
      </c>
      <c r="G138" s="15">
        <v>8.6999999999999993</v>
      </c>
      <c r="H138" s="16">
        <f t="shared" ref="H138:H154" si="38">D138+F138</f>
        <v>1183.5</v>
      </c>
      <c r="I138" s="15">
        <f t="shared" ref="I138:I149" si="39">E138+G138</f>
        <v>1181.9000000000001</v>
      </c>
      <c r="J138" s="2"/>
      <c r="K138" s="2"/>
      <c r="L138" s="2"/>
      <c r="M138" s="2"/>
    </row>
    <row r="139" spans="1:13" ht="15.75">
      <c r="A139" s="21">
        <v>2120</v>
      </c>
      <c r="B139" s="21"/>
      <c r="C139" s="15"/>
      <c r="D139" s="16">
        <v>272.39999999999998</v>
      </c>
      <c r="E139" s="16">
        <v>272</v>
      </c>
      <c r="F139" s="15">
        <v>5.6</v>
      </c>
      <c r="G139" s="15">
        <v>3.6</v>
      </c>
      <c r="H139" s="16">
        <f t="shared" si="38"/>
        <v>278</v>
      </c>
      <c r="I139" s="15">
        <f t="shared" si="39"/>
        <v>275.60000000000002</v>
      </c>
      <c r="J139" s="2"/>
      <c r="K139" s="2"/>
      <c r="L139" s="2"/>
      <c r="M139" s="2"/>
    </row>
    <row r="140" spans="1:13" ht="15.75">
      <c r="A140" s="21">
        <v>2200</v>
      </c>
      <c r="B140" s="21"/>
      <c r="C140" s="15"/>
      <c r="D140" s="16">
        <f>D141+D142+D143+D148</f>
        <v>0</v>
      </c>
      <c r="E140" s="16">
        <f>E141+E142+E143+E148</f>
        <v>0</v>
      </c>
      <c r="F140" s="16">
        <f>F141+F142+F143+F144+F148</f>
        <v>802</v>
      </c>
      <c r="G140" s="16">
        <f>G141+G142+G143+G144+G148</f>
        <v>774.8</v>
      </c>
      <c r="H140" s="16">
        <f t="shared" si="38"/>
        <v>802</v>
      </c>
      <c r="I140" s="15">
        <f t="shared" si="39"/>
        <v>774.8</v>
      </c>
      <c r="J140" s="2"/>
      <c r="K140" s="2"/>
      <c r="L140" s="2"/>
      <c r="M140" s="2"/>
    </row>
    <row r="141" spans="1:13" ht="15.75">
      <c r="A141" s="21">
        <v>2210</v>
      </c>
      <c r="B141" s="21"/>
      <c r="C141" s="15"/>
      <c r="D141" s="16"/>
      <c r="E141" s="16"/>
      <c r="F141" s="16">
        <v>207.6</v>
      </c>
      <c r="G141" s="16">
        <v>190.6</v>
      </c>
      <c r="H141" s="16">
        <f t="shared" si="38"/>
        <v>207.6</v>
      </c>
      <c r="I141" s="15">
        <f t="shared" si="39"/>
        <v>190.6</v>
      </c>
      <c r="J141" s="2"/>
      <c r="K141" s="2"/>
      <c r="L141" s="2"/>
      <c r="M141" s="2"/>
    </row>
    <row r="142" spans="1:13" ht="15.75">
      <c r="A142" s="21">
        <v>2240</v>
      </c>
      <c r="B142" s="21"/>
      <c r="C142" s="15"/>
      <c r="D142" s="16"/>
      <c r="E142" s="15"/>
      <c r="F142" s="15">
        <v>510.9</v>
      </c>
      <c r="G142" s="15">
        <v>504.7</v>
      </c>
      <c r="H142" s="16">
        <f t="shared" si="38"/>
        <v>510.9</v>
      </c>
      <c r="I142" s="15">
        <f t="shared" si="39"/>
        <v>504.7</v>
      </c>
      <c r="J142" s="2"/>
      <c r="K142" s="2"/>
      <c r="L142" s="2"/>
      <c r="M142" s="2"/>
    </row>
    <row r="143" spans="1:13" ht="15.75">
      <c r="A143" s="21">
        <v>2250</v>
      </c>
      <c r="B143" s="21"/>
      <c r="C143" s="15"/>
      <c r="D143" s="16"/>
      <c r="E143" s="15"/>
      <c r="F143" s="16">
        <v>1</v>
      </c>
      <c r="G143" s="15">
        <v>0.2</v>
      </c>
      <c r="H143" s="16">
        <f t="shared" si="38"/>
        <v>1</v>
      </c>
      <c r="I143" s="15">
        <f t="shared" si="39"/>
        <v>0.2</v>
      </c>
      <c r="J143" s="2"/>
      <c r="K143" s="2"/>
      <c r="L143" s="2"/>
      <c r="M143" s="2"/>
    </row>
    <row r="144" spans="1:13" ht="15.75">
      <c r="A144" s="21">
        <v>2270</v>
      </c>
      <c r="B144" s="21"/>
      <c r="C144" s="15"/>
      <c r="D144" s="16"/>
      <c r="E144" s="15"/>
      <c r="F144" s="15">
        <f>F145+F146+F147</f>
        <v>81.400000000000006</v>
      </c>
      <c r="G144" s="15">
        <f>G145+G146+G147</f>
        <v>78.3</v>
      </c>
      <c r="H144" s="16">
        <f t="shared" ref="H144:H147" si="40">D144+F144</f>
        <v>81.400000000000006</v>
      </c>
      <c r="I144" s="15">
        <f t="shared" ref="I144:I147" si="41">E144+G144</f>
        <v>78.3</v>
      </c>
      <c r="J144" s="2"/>
      <c r="K144" s="2"/>
      <c r="L144" s="2"/>
      <c r="M144" s="2"/>
    </row>
    <row r="145" spans="1:13" ht="15.75">
      <c r="A145" s="21">
        <v>2272</v>
      </c>
      <c r="B145" s="21"/>
      <c r="C145" s="15"/>
      <c r="D145" s="16"/>
      <c r="E145" s="15"/>
      <c r="F145" s="15">
        <v>0.5</v>
      </c>
      <c r="G145" s="15">
        <v>0.5</v>
      </c>
      <c r="H145" s="16">
        <f t="shared" si="40"/>
        <v>0.5</v>
      </c>
      <c r="I145" s="15">
        <f t="shared" si="41"/>
        <v>0.5</v>
      </c>
      <c r="J145" s="2"/>
      <c r="K145" s="2"/>
      <c r="L145" s="2"/>
      <c r="M145" s="2"/>
    </row>
    <row r="146" spans="1:13" ht="15.75">
      <c r="A146" s="21">
        <v>2273</v>
      </c>
      <c r="B146" s="21"/>
      <c r="C146" s="15"/>
      <c r="D146" s="16"/>
      <c r="E146" s="15"/>
      <c r="F146" s="15">
        <v>12.4</v>
      </c>
      <c r="G146" s="15">
        <v>9.3000000000000007</v>
      </c>
      <c r="H146" s="16">
        <f t="shared" si="40"/>
        <v>12.4</v>
      </c>
      <c r="I146" s="15">
        <f t="shared" si="41"/>
        <v>9.3000000000000007</v>
      </c>
      <c r="J146" s="2"/>
      <c r="K146" s="2"/>
      <c r="L146" s="2"/>
      <c r="M146" s="2"/>
    </row>
    <row r="147" spans="1:13" ht="15.75">
      <c r="A147" s="21">
        <v>2275</v>
      </c>
      <c r="B147" s="21"/>
      <c r="C147" s="15"/>
      <c r="D147" s="16"/>
      <c r="E147" s="15"/>
      <c r="F147" s="15">
        <v>68.5</v>
      </c>
      <c r="G147" s="15">
        <v>68.5</v>
      </c>
      <c r="H147" s="16">
        <f t="shared" si="40"/>
        <v>68.5</v>
      </c>
      <c r="I147" s="15">
        <f t="shared" si="41"/>
        <v>68.5</v>
      </c>
      <c r="J147" s="2"/>
      <c r="K147" s="2"/>
      <c r="L147" s="2"/>
      <c r="M147" s="2"/>
    </row>
    <row r="148" spans="1:13" ht="15.75">
      <c r="A148" s="21">
        <v>2280</v>
      </c>
      <c r="B148" s="21"/>
      <c r="C148" s="15"/>
      <c r="D148" s="16">
        <f>D149</f>
        <v>0</v>
      </c>
      <c r="E148" s="15">
        <f>E149</f>
        <v>0</v>
      </c>
      <c r="F148" s="16">
        <f>F149</f>
        <v>1.1000000000000001</v>
      </c>
      <c r="G148" s="16">
        <f>G149</f>
        <v>1</v>
      </c>
      <c r="H148" s="16">
        <f t="shared" si="38"/>
        <v>1.1000000000000001</v>
      </c>
      <c r="I148" s="15">
        <f t="shared" si="39"/>
        <v>1</v>
      </c>
      <c r="J148" s="2"/>
      <c r="K148" s="2"/>
      <c r="L148" s="2"/>
      <c r="M148" s="2"/>
    </row>
    <row r="149" spans="1:13" ht="15.75">
      <c r="A149" s="21">
        <v>2282</v>
      </c>
      <c r="B149" s="21"/>
      <c r="C149" s="15"/>
      <c r="D149" s="16"/>
      <c r="E149" s="15"/>
      <c r="F149" s="16">
        <v>1.1000000000000001</v>
      </c>
      <c r="G149" s="16">
        <v>1</v>
      </c>
      <c r="H149" s="16">
        <f t="shared" si="38"/>
        <v>1.1000000000000001</v>
      </c>
      <c r="I149" s="15">
        <f t="shared" si="39"/>
        <v>1</v>
      </c>
      <c r="J149" s="2"/>
      <c r="K149" s="2"/>
      <c r="L149" s="2"/>
      <c r="M149" s="2"/>
    </row>
    <row r="150" spans="1:13" ht="15.75">
      <c r="A150" s="21">
        <v>2800</v>
      </c>
      <c r="B150" s="21"/>
      <c r="C150" s="15"/>
      <c r="D150" s="16"/>
      <c r="E150" s="15"/>
      <c r="F150" s="15">
        <v>0.5</v>
      </c>
      <c r="G150" s="15">
        <v>0.5</v>
      </c>
      <c r="H150" s="16">
        <f t="shared" ref="H150" si="42">D150+F150</f>
        <v>0.5</v>
      </c>
      <c r="I150" s="15">
        <f t="shared" ref="I150" si="43">E150+G150</f>
        <v>0.5</v>
      </c>
      <c r="J150" s="2"/>
      <c r="K150" s="2"/>
      <c r="L150" s="2"/>
      <c r="M150" s="2"/>
    </row>
    <row r="151" spans="1:13" ht="15.75">
      <c r="A151" s="21">
        <v>3000</v>
      </c>
      <c r="B151" s="21"/>
      <c r="C151" s="15"/>
      <c r="D151" s="16"/>
      <c r="E151" s="16"/>
      <c r="F151" s="16">
        <f>F152</f>
        <v>48.5</v>
      </c>
      <c r="G151" s="16">
        <f>G152</f>
        <v>48.5</v>
      </c>
      <c r="H151" s="16">
        <f t="shared" si="38"/>
        <v>48.5</v>
      </c>
      <c r="I151" s="15">
        <f t="shared" ref="I151:I154" si="44">E151+G151</f>
        <v>48.5</v>
      </c>
      <c r="J151" s="2"/>
      <c r="K151" s="2"/>
      <c r="L151" s="2"/>
      <c r="M151" s="2"/>
    </row>
    <row r="152" spans="1:13" ht="15.75">
      <c r="A152" s="21">
        <v>3100</v>
      </c>
      <c r="B152" s="21"/>
      <c r="C152" s="15"/>
      <c r="D152" s="16"/>
      <c r="E152" s="16"/>
      <c r="F152" s="16">
        <f>F153</f>
        <v>48.5</v>
      </c>
      <c r="G152" s="16">
        <f>G153</f>
        <v>48.5</v>
      </c>
      <c r="H152" s="16">
        <f t="shared" si="38"/>
        <v>48.5</v>
      </c>
      <c r="I152" s="15">
        <f t="shared" si="44"/>
        <v>48.5</v>
      </c>
      <c r="J152" s="2"/>
      <c r="K152" s="2"/>
      <c r="L152" s="2"/>
      <c r="M152" s="2"/>
    </row>
    <row r="153" spans="1:13" ht="15.75">
      <c r="A153" s="21">
        <v>3110</v>
      </c>
      <c r="B153" s="21"/>
      <c r="C153" s="15"/>
      <c r="D153" s="16"/>
      <c r="E153" s="15"/>
      <c r="F153" s="15">
        <v>48.5</v>
      </c>
      <c r="G153" s="15">
        <v>48.5</v>
      </c>
      <c r="H153" s="16">
        <f t="shared" si="38"/>
        <v>48.5</v>
      </c>
      <c r="I153" s="15">
        <f t="shared" si="44"/>
        <v>48.5</v>
      </c>
      <c r="J153" s="2"/>
      <c r="K153" s="2"/>
      <c r="L153" s="2"/>
      <c r="M153" s="2"/>
    </row>
    <row r="154" spans="1:13" ht="15.75">
      <c r="A154" s="27" t="s">
        <v>28</v>
      </c>
      <c r="B154" s="21"/>
      <c r="C154" s="15"/>
      <c r="D154" s="30">
        <f>D137+D151</f>
        <v>1445.6</v>
      </c>
      <c r="E154" s="50">
        <f>E137+E151</f>
        <v>1445.2</v>
      </c>
      <c r="F154" s="50">
        <f>F137+F151</f>
        <v>866.9</v>
      </c>
      <c r="G154" s="50">
        <f>G137+G151</f>
        <v>836.09999999999991</v>
      </c>
      <c r="H154" s="30">
        <f t="shared" si="38"/>
        <v>2312.5</v>
      </c>
      <c r="I154" s="30">
        <f t="shared" si="44"/>
        <v>2281.3000000000002</v>
      </c>
      <c r="J154" s="2"/>
      <c r="K154" s="2"/>
      <c r="L154" s="2"/>
      <c r="M154" s="2"/>
    </row>
    <row r="155" spans="1:13" ht="30.75" customHeight="1">
      <c r="A155" s="33">
        <v>1011230</v>
      </c>
      <c r="B155" s="34" t="s">
        <v>33</v>
      </c>
      <c r="C155" s="165" t="s">
        <v>38</v>
      </c>
      <c r="D155" s="165"/>
      <c r="E155" s="165"/>
      <c r="F155" s="165"/>
      <c r="G155" s="165"/>
      <c r="H155" s="165"/>
      <c r="I155" s="165"/>
      <c r="J155" s="36"/>
      <c r="K155" s="36"/>
      <c r="L155" s="10"/>
      <c r="M155" s="2"/>
    </row>
    <row r="156" spans="1:13" ht="15.75">
      <c r="A156" s="21">
        <v>2000</v>
      </c>
      <c r="B156" s="21"/>
      <c r="C156" s="15"/>
      <c r="D156" s="16">
        <f>D157</f>
        <v>38</v>
      </c>
      <c r="E156" s="16">
        <f>E157</f>
        <v>36.200000000000003</v>
      </c>
      <c r="F156" s="15"/>
      <c r="G156" s="15"/>
      <c r="H156" s="16">
        <f t="shared" ref="H156:H159" si="45">D156+F156</f>
        <v>38</v>
      </c>
      <c r="I156" s="15">
        <f t="shared" ref="I156:I159" si="46">E156+G156</f>
        <v>36.200000000000003</v>
      </c>
      <c r="J156" s="2"/>
      <c r="K156" s="2"/>
      <c r="L156" s="2"/>
      <c r="M156" s="2"/>
    </row>
    <row r="157" spans="1:13" ht="15.75">
      <c r="A157" s="21">
        <v>2700</v>
      </c>
      <c r="B157" s="21"/>
      <c r="C157" s="15"/>
      <c r="D157" s="16">
        <f>D158</f>
        <v>38</v>
      </c>
      <c r="E157" s="16">
        <f>E158</f>
        <v>36.200000000000003</v>
      </c>
      <c r="F157" s="15"/>
      <c r="G157" s="15"/>
      <c r="H157" s="16">
        <f t="shared" si="45"/>
        <v>38</v>
      </c>
      <c r="I157" s="15">
        <f t="shared" si="46"/>
        <v>36.200000000000003</v>
      </c>
      <c r="J157" s="2"/>
      <c r="K157" s="2"/>
      <c r="L157" s="2"/>
      <c r="M157" s="2"/>
    </row>
    <row r="158" spans="1:13" ht="15.75">
      <c r="A158" s="21">
        <v>2730</v>
      </c>
      <c r="B158" s="21"/>
      <c r="C158" s="15"/>
      <c r="D158" s="16">
        <v>38</v>
      </c>
      <c r="E158" s="16">
        <v>36.200000000000003</v>
      </c>
      <c r="F158" s="15"/>
      <c r="G158" s="15"/>
      <c r="H158" s="16">
        <f t="shared" si="45"/>
        <v>38</v>
      </c>
      <c r="I158" s="15">
        <f t="shared" si="46"/>
        <v>36.200000000000003</v>
      </c>
      <c r="J158" s="2"/>
      <c r="K158" s="2"/>
      <c r="L158" s="2"/>
      <c r="M158" s="2"/>
    </row>
    <row r="159" spans="1:13" ht="15.75">
      <c r="A159" s="28" t="s">
        <v>28</v>
      </c>
      <c r="B159" s="28"/>
      <c r="C159" s="29"/>
      <c r="D159" s="30">
        <f>D156</f>
        <v>38</v>
      </c>
      <c r="E159" s="50">
        <f>E156</f>
        <v>36.200000000000003</v>
      </c>
      <c r="F159" s="29"/>
      <c r="G159" s="29"/>
      <c r="H159" s="30">
        <f t="shared" si="45"/>
        <v>38</v>
      </c>
      <c r="I159" s="29">
        <f t="shared" si="46"/>
        <v>36.200000000000003</v>
      </c>
      <c r="J159" s="2"/>
      <c r="K159" s="2"/>
      <c r="L159" s="2"/>
      <c r="M159" s="2"/>
    </row>
    <row r="160" spans="1:13" ht="45.75" customHeight="1">
      <c r="A160" s="37">
        <v>1013160</v>
      </c>
      <c r="B160" s="34" t="s">
        <v>39</v>
      </c>
      <c r="C160" s="163" t="s">
        <v>40</v>
      </c>
      <c r="D160" s="163"/>
      <c r="E160" s="163"/>
      <c r="F160" s="163"/>
      <c r="G160" s="163"/>
      <c r="H160" s="163"/>
      <c r="I160" s="163"/>
      <c r="J160" s="36"/>
      <c r="K160" s="36"/>
      <c r="L160" s="2"/>
      <c r="M160" s="2"/>
    </row>
    <row r="161" spans="1:13" ht="15.75">
      <c r="A161" s="21">
        <v>2000</v>
      </c>
      <c r="B161" s="21"/>
      <c r="C161" s="15"/>
      <c r="D161" s="16">
        <f>D162</f>
        <v>189</v>
      </c>
      <c r="E161" s="16">
        <f>E162</f>
        <v>189</v>
      </c>
      <c r="F161" s="15"/>
      <c r="G161" s="15"/>
      <c r="H161" s="16">
        <f t="shared" ref="H161:H164" si="47">D161+F161</f>
        <v>189</v>
      </c>
      <c r="I161" s="16">
        <f t="shared" ref="I161:I164" si="48">E161+G161</f>
        <v>189</v>
      </c>
      <c r="J161" s="2"/>
      <c r="K161" s="2"/>
      <c r="L161" s="2"/>
      <c r="M161" s="2"/>
    </row>
    <row r="162" spans="1:13" ht="15.75">
      <c r="A162" s="21">
        <v>2280</v>
      </c>
      <c r="B162" s="21"/>
      <c r="C162" s="15"/>
      <c r="D162" s="16">
        <f>D163</f>
        <v>189</v>
      </c>
      <c r="E162" s="16">
        <f>E163</f>
        <v>189</v>
      </c>
      <c r="F162" s="15"/>
      <c r="G162" s="15"/>
      <c r="H162" s="16">
        <f t="shared" si="47"/>
        <v>189</v>
      </c>
      <c r="I162" s="16">
        <f t="shared" si="48"/>
        <v>189</v>
      </c>
      <c r="J162" s="2"/>
      <c r="K162" s="2"/>
      <c r="L162" s="2"/>
      <c r="M162" s="2"/>
    </row>
    <row r="163" spans="1:13" ht="15.75">
      <c r="A163" s="21">
        <v>2282</v>
      </c>
      <c r="B163" s="21"/>
      <c r="C163" s="15"/>
      <c r="D163" s="16">
        <v>189</v>
      </c>
      <c r="E163" s="16">
        <v>189</v>
      </c>
      <c r="F163" s="15"/>
      <c r="G163" s="15"/>
      <c r="H163" s="16">
        <f t="shared" si="47"/>
        <v>189</v>
      </c>
      <c r="I163" s="16">
        <f t="shared" si="48"/>
        <v>189</v>
      </c>
      <c r="J163" s="2"/>
      <c r="K163" s="2"/>
      <c r="L163" s="2"/>
      <c r="M163" s="2"/>
    </row>
    <row r="164" spans="1:13" ht="15.75">
      <c r="A164" s="28" t="s">
        <v>28</v>
      </c>
      <c r="B164" s="21"/>
      <c r="C164" s="39"/>
      <c r="D164" s="40">
        <f>D161</f>
        <v>189</v>
      </c>
      <c r="E164" s="52">
        <f>E161</f>
        <v>189</v>
      </c>
      <c r="F164" s="39"/>
      <c r="G164" s="39"/>
      <c r="H164" s="40">
        <f t="shared" si="47"/>
        <v>189</v>
      </c>
      <c r="I164" s="40">
        <f t="shared" si="48"/>
        <v>189</v>
      </c>
      <c r="J164" s="2"/>
      <c r="K164" s="2"/>
      <c r="L164" s="2"/>
      <c r="M164" s="2"/>
    </row>
    <row r="165" spans="1:13" ht="15.75" customHeight="1">
      <c r="A165" s="17">
        <v>1016310</v>
      </c>
      <c r="B165" s="19" t="s">
        <v>41</v>
      </c>
      <c r="C165" s="164" t="s">
        <v>42</v>
      </c>
      <c r="D165" s="164"/>
      <c r="E165" s="164"/>
      <c r="F165" s="164"/>
      <c r="G165" s="164"/>
      <c r="H165" s="164"/>
      <c r="I165" s="164"/>
      <c r="J165" s="20"/>
      <c r="K165" s="20"/>
      <c r="L165" s="2"/>
      <c r="M165" s="2"/>
    </row>
    <row r="166" spans="1:13" ht="15.75">
      <c r="A166" s="21">
        <v>3000</v>
      </c>
      <c r="B166" s="21"/>
      <c r="C166" s="41"/>
      <c r="D166" s="42"/>
      <c r="E166" s="41"/>
      <c r="F166" s="42">
        <f>F167</f>
        <v>3021.7</v>
      </c>
      <c r="G166" s="42">
        <f>G167</f>
        <v>3012.2</v>
      </c>
      <c r="H166" s="16">
        <f t="shared" ref="H166:H169" si="49">D166+F166</f>
        <v>3021.7</v>
      </c>
      <c r="I166" s="16">
        <f t="shared" ref="I166:I169" si="50">E166+G166</f>
        <v>3012.2</v>
      </c>
      <c r="J166" s="2"/>
      <c r="K166" s="2"/>
      <c r="L166" s="2"/>
      <c r="M166" s="2"/>
    </row>
    <row r="167" spans="1:13" ht="15.75">
      <c r="A167" s="21">
        <v>3140</v>
      </c>
      <c r="B167" s="21"/>
      <c r="C167" s="15"/>
      <c r="D167" s="16"/>
      <c r="E167" s="15"/>
      <c r="F167" s="16">
        <f>F168</f>
        <v>3021.7</v>
      </c>
      <c r="G167" s="16">
        <f>G168</f>
        <v>3012.2</v>
      </c>
      <c r="H167" s="16">
        <f t="shared" si="49"/>
        <v>3021.7</v>
      </c>
      <c r="I167" s="16">
        <f t="shared" si="50"/>
        <v>3012.2</v>
      </c>
      <c r="J167" s="2"/>
      <c r="K167" s="2"/>
      <c r="L167" s="2"/>
      <c r="M167" s="2"/>
    </row>
    <row r="168" spans="1:13" ht="15.75">
      <c r="A168" s="21">
        <v>3142</v>
      </c>
      <c r="B168" s="21"/>
      <c r="C168" s="15"/>
      <c r="D168" s="16"/>
      <c r="E168" s="15"/>
      <c r="F168" s="16">
        <v>3021.7</v>
      </c>
      <c r="G168" s="16">
        <v>3012.2</v>
      </c>
      <c r="H168" s="16">
        <f t="shared" si="49"/>
        <v>3021.7</v>
      </c>
      <c r="I168" s="16">
        <f t="shared" si="50"/>
        <v>3012.2</v>
      </c>
      <c r="J168" s="2"/>
      <c r="K168" s="2"/>
      <c r="L168" s="2"/>
      <c r="M168" s="2"/>
    </row>
    <row r="169" spans="1:13" ht="15.75">
      <c r="A169" s="28" t="s">
        <v>28</v>
      </c>
      <c r="B169" s="28"/>
      <c r="C169" s="29"/>
      <c r="D169" s="30"/>
      <c r="E169" s="49"/>
      <c r="F169" s="50">
        <f>F166</f>
        <v>3021.7</v>
      </c>
      <c r="G169" s="50">
        <f>G166</f>
        <v>3012.2</v>
      </c>
      <c r="H169" s="50">
        <f t="shared" si="49"/>
        <v>3021.7</v>
      </c>
      <c r="I169" s="30">
        <f t="shared" si="50"/>
        <v>3012.2</v>
      </c>
      <c r="J169" s="2"/>
      <c r="K169" s="2"/>
      <c r="L169" s="2"/>
      <c r="M169" s="2"/>
    </row>
    <row r="170" spans="1:13" ht="15.75">
      <c r="A170" s="43" t="s">
        <v>46</v>
      </c>
      <c r="B170" s="43"/>
      <c r="C170" s="44"/>
      <c r="D170" s="47">
        <f>D70+D85+D101+D120+D135+D154+D159+D164+D169</f>
        <v>95796.599999999991</v>
      </c>
      <c r="E170" s="51">
        <f>E70+E85+E101+E120+E135+E154+E159+E164</f>
        <v>92907.499999999985</v>
      </c>
      <c r="F170" s="51">
        <f>F70+F85+F101+F120+F135+F154+F159+F164+F169</f>
        <v>13332</v>
      </c>
      <c r="G170" s="51">
        <f>G70+G85+G101+G120+G135+G154+G159+G164+G169</f>
        <v>11665.100000000002</v>
      </c>
      <c r="H170" s="51">
        <f>H70+H85+H101+H120+H135+H154+H159+H164+H169</f>
        <v>109128.59999999999</v>
      </c>
      <c r="I170" s="47">
        <f>I70+I85+I101+I120+I135+I154+I159+I164+I169</f>
        <v>104572.59999999999</v>
      </c>
      <c r="J170" s="2"/>
      <c r="K170" s="2"/>
      <c r="L170" s="2"/>
      <c r="M170" s="2"/>
    </row>
    <row r="171" spans="1:13" ht="15.75">
      <c r="A171" s="45"/>
      <c r="B171" s="45"/>
      <c r="C171" s="46"/>
      <c r="D171" s="46"/>
      <c r="E171" s="46"/>
      <c r="F171" s="46"/>
      <c r="G171" s="46"/>
      <c r="H171" s="46"/>
      <c r="I171" s="46"/>
      <c r="J171" s="2"/>
      <c r="K171" s="2"/>
      <c r="L171" s="2"/>
      <c r="M171" s="2"/>
    </row>
    <row r="172" spans="1:13" ht="15.75">
      <c r="A172" s="45"/>
      <c r="B172" s="45"/>
      <c r="C172" s="46"/>
      <c r="D172" s="46"/>
      <c r="E172" s="46"/>
      <c r="F172" s="46"/>
      <c r="G172" s="46"/>
      <c r="H172" s="46"/>
      <c r="I172" s="46"/>
      <c r="J172" s="2"/>
      <c r="K172" s="2"/>
      <c r="L172" s="2"/>
      <c r="M172" s="2"/>
    </row>
    <row r="173" spans="1:13" ht="15.75">
      <c r="A173" s="6"/>
      <c r="B173" s="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>
      <c r="A174" s="136" t="s">
        <v>243</v>
      </c>
      <c r="B174" s="136"/>
      <c r="C174" s="136"/>
      <c r="D174" s="2"/>
      <c r="E174" s="2"/>
      <c r="F174" s="2"/>
      <c r="G174" s="4"/>
      <c r="H174" s="137" t="s">
        <v>45</v>
      </c>
      <c r="I174" s="137"/>
      <c r="J174" s="2"/>
      <c r="K174" s="2"/>
      <c r="L174" s="2"/>
      <c r="M174" s="2"/>
    </row>
    <row r="175" spans="1:13" ht="15.75">
      <c r="A175" s="6" t="s">
        <v>43</v>
      </c>
      <c r="B175" s="6"/>
      <c r="C175" s="2"/>
      <c r="D175" s="2"/>
      <c r="E175" s="2"/>
      <c r="F175" s="2"/>
      <c r="G175" s="2" t="s">
        <v>44</v>
      </c>
      <c r="H175" s="2"/>
      <c r="I175" s="2"/>
      <c r="J175" s="2"/>
      <c r="K175" s="2"/>
      <c r="L175" s="2"/>
      <c r="M175" s="2"/>
    </row>
    <row r="176" spans="1:13" ht="15.75">
      <c r="A176" s="6"/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>
      <c r="A177" s="6"/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>
      <c r="A178" s="6"/>
      <c r="B178" s="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>
      <c r="A179" s="6"/>
      <c r="B179" s="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>
      <c r="A180" s="6"/>
      <c r="B180" s="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>
      <c r="A181" s="6"/>
      <c r="B181" s="6"/>
      <c r="C181" s="2"/>
      <c r="D181" s="2"/>
      <c r="E181" s="2" t="s">
        <v>4</v>
      </c>
      <c r="F181" s="2"/>
      <c r="G181" s="2"/>
      <c r="H181" s="2"/>
      <c r="I181" s="2"/>
      <c r="J181" s="2"/>
      <c r="K181" s="2"/>
      <c r="L181" s="2"/>
      <c r="M181" s="2"/>
    </row>
    <row r="182" spans="1:13">
      <c r="A182" s="26"/>
      <c r="B182" s="26"/>
    </row>
    <row r="183" spans="1:13">
      <c r="A183" s="26"/>
      <c r="B183" s="26"/>
    </row>
    <row r="184" spans="1:13">
      <c r="A184" s="26"/>
      <c r="B184" s="26"/>
    </row>
    <row r="185" spans="1:13">
      <c r="A185" s="26"/>
      <c r="B185" s="26"/>
    </row>
    <row r="186" spans="1:13">
      <c r="A186" s="26"/>
      <c r="B186" s="26"/>
    </row>
    <row r="187" spans="1:13">
      <c r="A187" s="26"/>
      <c r="B187" s="26"/>
    </row>
    <row r="188" spans="1:13">
      <c r="A188" s="26"/>
      <c r="B188" s="26"/>
    </row>
    <row r="189" spans="1:13">
      <c r="A189" s="26"/>
      <c r="B189" s="26"/>
    </row>
    <row r="190" spans="1:13">
      <c r="A190" s="26"/>
      <c r="B190" s="26"/>
    </row>
    <row r="191" spans="1:13">
      <c r="A191" s="26"/>
      <c r="B191" s="26"/>
    </row>
    <row r="192" spans="1:13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</sheetData>
  <mergeCells count="21">
    <mergeCell ref="A6:H6"/>
    <mergeCell ref="D12:E12"/>
    <mergeCell ref="A14:A15"/>
    <mergeCell ref="B14:B15"/>
    <mergeCell ref="C14:C15"/>
    <mergeCell ref="D14:E14"/>
    <mergeCell ref="F14:G14"/>
    <mergeCell ref="A7:I7"/>
    <mergeCell ref="C160:I160"/>
    <mergeCell ref="C165:I165"/>
    <mergeCell ref="H174:I174"/>
    <mergeCell ref="A174:C174"/>
    <mergeCell ref="C121:I121"/>
    <mergeCell ref="C136:I136"/>
    <mergeCell ref="C155:I155"/>
    <mergeCell ref="C45:I45"/>
    <mergeCell ref="H14:I14"/>
    <mergeCell ref="C71:I71"/>
    <mergeCell ref="C86:I86"/>
    <mergeCell ref="C102:I102"/>
    <mergeCell ref="C17:I17"/>
  </mergeCells>
  <pageMargins left="0.9055118110236221" right="0.51181102362204722" top="0.55118110236220474" bottom="0.35433070866141736" header="0.31496062992125984" footer="0.31496062992125984"/>
  <pageSetup paperSize="9" scale="75" fitToHeight="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0"/>
  <sheetViews>
    <sheetView topLeftCell="A13" workbookViewId="0">
      <selection activeCell="B15" sqref="B15:B16"/>
    </sheetView>
  </sheetViews>
  <sheetFormatPr defaultRowHeight="15"/>
  <cols>
    <col min="1" max="1" width="13.125" customWidth="1"/>
    <col min="2" max="2" width="36.375" customWidth="1"/>
    <col min="3" max="3" width="12.75" customWidth="1"/>
    <col min="4" max="4" width="63" customWidth="1"/>
    <col min="5" max="10" width="10.125" customWidth="1"/>
  </cols>
  <sheetData>
    <row r="1" spans="1:13" ht="15.75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</row>
    <row r="3" spans="1:13" ht="15.75">
      <c r="A3" s="2"/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 t="s">
        <v>3</v>
      </c>
      <c r="G4" s="2"/>
      <c r="H4" s="2"/>
      <c r="I4" s="2"/>
      <c r="J4" s="2"/>
      <c r="K4" s="2"/>
      <c r="L4" s="2"/>
      <c r="M4" s="2"/>
    </row>
    <row r="5" spans="1:13" ht="15.7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 t="s">
        <v>217</v>
      </c>
      <c r="B6" s="175" t="s">
        <v>218</v>
      </c>
      <c r="C6" s="175"/>
      <c r="D6" s="175"/>
      <c r="E6" s="175"/>
      <c r="F6" s="175"/>
      <c r="G6" s="175"/>
      <c r="H6" s="8"/>
      <c r="I6" s="8"/>
      <c r="J6" s="2"/>
      <c r="K6" s="2"/>
      <c r="L6" s="2"/>
      <c r="M6" s="2"/>
    </row>
    <row r="7" spans="1:13" ht="15.75" customHeight="1">
      <c r="A7" s="3" t="s">
        <v>219</v>
      </c>
      <c r="B7" s="162" t="s">
        <v>220</v>
      </c>
      <c r="C7" s="162"/>
      <c r="D7" s="162"/>
      <c r="E7" s="162"/>
      <c r="F7" s="162"/>
      <c r="G7" s="162"/>
      <c r="H7" s="53"/>
      <c r="I7" s="53"/>
      <c r="J7" s="2"/>
      <c r="K7" s="2"/>
      <c r="L7" s="2"/>
      <c r="M7" s="2"/>
    </row>
    <row r="8" spans="1:13" ht="15.75">
      <c r="A8" s="3" t="s">
        <v>51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.75" customHeight="1">
      <c r="A9" s="54" t="s">
        <v>57</v>
      </c>
      <c r="B9" s="151" t="s">
        <v>231</v>
      </c>
      <c r="C9" s="151"/>
      <c r="D9" s="151"/>
      <c r="E9" s="151"/>
      <c r="F9" s="151"/>
      <c r="G9" s="151"/>
      <c r="H9" s="151"/>
      <c r="I9" s="151"/>
      <c r="J9" s="54"/>
      <c r="K9" s="2"/>
      <c r="L9" s="2"/>
      <c r="M9" s="2"/>
    </row>
    <row r="10" spans="1:13" ht="15.75">
      <c r="A10" s="277" t="s">
        <v>55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54" t="s">
        <v>232</v>
      </c>
      <c r="E12" s="54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5" t="s">
        <v>234</v>
      </c>
      <c r="B14" s="2"/>
      <c r="C14" s="2"/>
      <c r="D14" s="2"/>
      <c r="E14" s="2"/>
      <c r="F14" s="2"/>
      <c r="G14" s="2"/>
      <c r="H14" s="2" t="s">
        <v>49</v>
      </c>
      <c r="I14" s="2"/>
      <c r="J14" s="2"/>
      <c r="K14" s="2"/>
      <c r="L14" s="2"/>
      <c r="M14" s="2"/>
    </row>
    <row r="15" spans="1:13" ht="30.75" customHeight="1">
      <c r="A15" s="249" t="s">
        <v>221</v>
      </c>
      <c r="B15" s="251" t="s">
        <v>230</v>
      </c>
      <c r="C15" s="243" t="s">
        <v>222</v>
      </c>
      <c r="D15" s="249" t="s">
        <v>223</v>
      </c>
      <c r="E15" s="144" t="s">
        <v>226</v>
      </c>
      <c r="F15" s="145"/>
      <c r="G15" s="146"/>
      <c r="H15" s="144" t="s">
        <v>65</v>
      </c>
      <c r="I15" s="145"/>
      <c r="J15" s="146"/>
      <c r="K15" s="2"/>
      <c r="L15" s="2"/>
      <c r="M15" s="2"/>
    </row>
    <row r="16" spans="1:13" ht="63.75" customHeight="1">
      <c r="A16" s="250"/>
      <c r="B16" s="252"/>
      <c r="C16" s="244"/>
      <c r="D16" s="250"/>
      <c r="E16" s="57" t="s">
        <v>63</v>
      </c>
      <c r="F16" s="57" t="s">
        <v>64</v>
      </c>
      <c r="G16" s="57" t="s">
        <v>28</v>
      </c>
      <c r="H16" s="57" t="s">
        <v>63</v>
      </c>
      <c r="I16" s="57" t="s">
        <v>64</v>
      </c>
      <c r="J16" s="57" t="s">
        <v>28</v>
      </c>
      <c r="K16" s="2"/>
      <c r="L16" s="2"/>
      <c r="M16" s="2"/>
    </row>
    <row r="17" spans="1:14" ht="14.25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2"/>
      <c r="L17" s="2"/>
      <c r="M17" s="2"/>
    </row>
    <row r="18" spans="1:14" ht="47.25" customHeight="1">
      <c r="A18" s="251" t="s">
        <v>233</v>
      </c>
      <c r="B18" s="256" t="s">
        <v>227</v>
      </c>
      <c r="C18" s="199">
        <v>1011020</v>
      </c>
      <c r="D18" s="63" t="s">
        <v>29</v>
      </c>
      <c r="E18" s="61"/>
      <c r="F18" s="194">
        <v>1133</v>
      </c>
      <c r="G18" s="194">
        <f>SUM(E18:F18)</f>
        <v>1133</v>
      </c>
      <c r="H18" s="194"/>
      <c r="I18" s="194">
        <v>1114</v>
      </c>
      <c r="J18" s="194">
        <f>SUM(H18:I18)</f>
        <v>1114</v>
      </c>
      <c r="K18" s="246"/>
      <c r="L18" s="247"/>
      <c r="M18" s="247"/>
      <c r="N18" s="247"/>
    </row>
    <row r="19" spans="1:14" ht="17.25" customHeight="1">
      <c r="A19" s="252"/>
      <c r="B19" s="257"/>
      <c r="C19" s="199">
        <v>1016310</v>
      </c>
      <c r="D19" s="63" t="s">
        <v>42</v>
      </c>
      <c r="E19" s="61"/>
      <c r="F19" s="194">
        <v>3021.7</v>
      </c>
      <c r="G19" s="194">
        <f>SUM(E19:F19)</f>
        <v>3021.7</v>
      </c>
      <c r="H19" s="194"/>
      <c r="I19" s="194">
        <v>3012.2</v>
      </c>
      <c r="J19" s="194">
        <f>SUM(H19:I19)</f>
        <v>3012.2</v>
      </c>
      <c r="K19" s="246"/>
      <c r="L19" s="247"/>
      <c r="M19" s="247"/>
      <c r="N19" s="247"/>
    </row>
    <row r="20" spans="1:14" ht="17.25" customHeight="1">
      <c r="A20" s="245"/>
      <c r="B20" s="248" t="s">
        <v>28</v>
      </c>
      <c r="C20" s="199"/>
      <c r="D20" s="63"/>
      <c r="E20" s="258"/>
      <c r="F20" s="255">
        <f>SUM(F18:F19)</f>
        <v>4154.7</v>
      </c>
      <c r="G20" s="255">
        <f>SUM(G18:G19)</f>
        <v>4154.7</v>
      </c>
      <c r="H20" s="255"/>
      <c r="I20" s="255">
        <f>SUM(I18:I19)</f>
        <v>4126.2</v>
      </c>
      <c r="J20" s="255">
        <f>SUM(J18:J19)</f>
        <v>4126.2</v>
      </c>
      <c r="K20" s="246"/>
      <c r="L20" s="247"/>
      <c r="M20" s="247"/>
      <c r="N20" s="247"/>
    </row>
    <row r="21" spans="1:14" ht="47.25" customHeight="1">
      <c r="A21" s="251" t="s">
        <v>235</v>
      </c>
      <c r="B21" s="256" t="s">
        <v>228</v>
      </c>
      <c r="C21" s="199">
        <v>1011020</v>
      </c>
      <c r="D21" s="63" t="s">
        <v>29</v>
      </c>
      <c r="E21" s="194">
        <v>90.1</v>
      </c>
      <c r="F21" s="194"/>
      <c r="G21" s="194">
        <v>90.1</v>
      </c>
      <c r="H21" s="194">
        <v>90.1</v>
      </c>
      <c r="I21" s="194">
        <v>3.5</v>
      </c>
      <c r="J21" s="194">
        <f>SUM(H21:I21)</f>
        <v>93.6</v>
      </c>
      <c r="K21" s="247"/>
      <c r="L21" s="247"/>
      <c r="M21" s="247"/>
      <c r="N21" s="246"/>
    </row>
    <row r="22" spans="1:14" ht="47.25" customHeight="1">
      <c r="A22" s="252"/>
      <c r="B22" s="257"/>
      <c r="C22" s="55">
        <v>1013160</v>
      </c>
      <c r="D22" s="63" t="s">
        <v>40</v>
      </c>
      <c r="E22" s="253">
        <v>189</v>
      </c>
      <c r="F22" s="253"/>
      <c r="G22" s="253">
        <f>SUM(E22:F22)</f>
        <v>189</v>
      </c>
      <c r="H22" s="253">
        <v>189</v>
      </c>
      <c r="I22" s="253"/>
      <c r="J22" s="194">
        <f>SUM(H22:I22)</f>
        <v>189</v>
      </c>
      <c r="K22" s="247"/>
      <c r="L22" s="247"/>
      <c r="M22" s="247"/>
      <c r="N22" s="246"/>
    </row>
    <row r="23" spans="1:14" ht="17.25" customHeight="1">
      <c r="A23" s="245"/>
      <c r="B23" s="248" t="s">
        <v>28</v>
      </c>
      <c r="C23" s="55"/>
      <c r="D23" s="63"/>
      <c r="E23" s="255">
        <f>SUM(E21:E22)</f>
        <v>279.10000000000002</v>
      </c>
      <c r="F23" s="255">
        <f>SUM(F21:F22)</f>
        <v>0</v>
      </c>
      <c r="G23" s="255">
        <f>SUM(G21:G22)</f>
        <v>279.10000000000002</v>
      </c>
      <c r="H23" s="255">
        <f>SUM(H21:H22)</f>
        <v>279.10000000000002</v>
      </c>
      <c r="I23" s="255">
        <f>SUM(I21:I22)</f>
        <v>3.5</v>
      </c>
      <c r="J23" s="255">
        <f>SUM(J21:J22)</f>
        <v>282.60000000000002</v>
      </c>
      <c r="K23" s="247"/>
      <c r="L23" s="247"/>
      <c r="M23" s="247"/>
      <c r="N23" s="246"/>
    </row>
    <row r="24" spans="1:14" ht="31.5" customHeight="1">
      <c r="A24" s="251" t="s">
        <v>236</v>
      </c>
      <c r="B24" s="63" t="s">
        <v>229</v>
      </c>
      <c r="C24" s="199">
        <v>1011020</v>
      </c>
      <c r="D24" s="63" t="s">
        <v>29</v>
      </c>
      <c r="E24" s="194">
        <v>10440.1</v>
      </c>
      <c r="F24" s="194">
        <v>772.6</v>
      </c>
      <c r="G24" s="194">
        <f>SUM(E24:F24)</f>
        <v>11212.7</v>
      </c>
      <c r="H24" s="194">
        <v>10431</v>
      </c>
      <c r="I24" s="194">
        <v>1271.7</v>
      </c>
      <c r="J24" s="194">
        <f>SUM(H24:I24)</f>
        <v>11702.7</v>
      </c>
      <c r="K24" s="246"/>
      <c r="L24" s="246"/>
      <c r="M24" s="246"/>
      <c r="N24" s="246"/>
    </row>
    <row r="25" spans="1:14" ht="30">
      <c r="A25" s="252"/>
      <c r="B25" s="63" t="s">
        <v>229</v>
      </c>
      <c r="C25" s="199">
        <v>1011170</v>
      </c>
      <c r="D25" s="220" t="s">
        <v>34</v>
      </c>
      <c r="E25" s="194">
        <v>13.8</v>
      </c>
      <c r="F25" s="194"/>
      <c r="G25" s="194">
        <f>SUM(E25:F25)</f>
        <v>13.8</v>
      </c>
      <c r="H25" s="194">
        <v>10.484999999999999</v>
      </c>
      <c r="I25" s="194"/>
      <c r="J25" s="194">
        <f>SUM(H25:I25)</f>
        <v>10.484999999999999</v>
      </c>
      <c r="K25" s="2"/>
      <c r="L25" s="2"/>
      <c r="M25" s="2"/>
    </row>
    <row r="26" spans="1:14" ht="15.75">
      <c r="A26" s="221"/>
      <c r="B26" s="248" t="s">
        <v>28</v>
      </c>
      <c r="C26" s="221"/>
      <c r="D26" s="221"/>
      <c r="E26" s="254">
        <f>SUM(E24:E25)</f>
        <v>10453.9</v>
      </c>
      <c r="F26" s="254">
        <f>SUM(F24:F25)</f>
        <v>772.6</v>
      </c>
      <c r="G26" s="254">
        <f>SUM(G24:G25)</f>
        <v>11226.5</v>
      </c>
      <c r="H26" s="254">
        <f>SUM(H24:H25)</f>
        <v>10441.485000000001</v>
      </c>
      <c r="I26" s="254">
        <f>SUM(I24:I25)</f>
        <v>1271.7</v>
      </c>
      <c r="J26" s="254">
        <f>SUM(J25)</f>
        <v>10.484999999999999</v>
      </c>
      <c r="K26" s="2"/>
      <c r="L26" s="2"/>
      <c r="M26" s="2"/>
    </row>
    <row r="27" spans="1:14" ht="15.75">
      <c r="A27" s="221"/>
      <c r="B27" s="221"/>
      <c r="C27" s="221"/>
      <c r="D27" s="221"/>
      <c r="E27" s="21"/>
      <c r="F27" s="21"/>
      <c r="G27" s="21"/>
      <c r="H27" s="21"/>
      <c r="I27" s="21"/>
      <c r="J27" s="21"/>
      <c r="K27" s="2"/>
      <c r="L27" s="2"/>
      <c r="M27" s="2"/>
    </row>
    <row r="28" spans="1:14" ht="15.75">
      <c r="A28" s="221"/>
      <c r="B28" s="248" t="s">
        <v>46</v>
      </c>
      <c r="C28" s="248"/>
      <c r="D28" s="248"/>
      <c r="E28" s="254">
        <f>E20+E23+E26</f>
        <v>10733</v>
      </c>
      <c r="F28" s="254">
        <f>F20+F23+F26</f>
        <v>4927.3</v>
      </c>
      <c r="G28" s="254">
        <f>G20+G23+G26</f>
        <v>15660.3</v>
      </c>
      <c r="H28" s="254">
        <f>H20+H23+H26</f>
        <v>10720.585000000001</v>
      </c>
      <c r="I28" s="254">
        <f>I20+I23+I26</f>
        <v>5401.4</v>
      </c>
      <c r="J28" s="254">
        <f>J20+J23+J26</f>
        <v>4419.2849999999999</v>
      </c>
      <c r="K28" s="2"/>
      <c r="L28" s="2"/>
      <c r="M28" s="2"/>
    </row>
    <row r="29" spans="1:14" ht="15.75">
      <c r="A29" s="2"/>
      <c r="B29" s="2"/>
      <c r="C29" s="2"/>
      <c r="D29" s="2"/>
      <c r="E29" s="1"/>
      <c r="F29" s="1"/>
      <c r="G29" s="1"/>
      <c r="H29" s="1"/>
      <c r="I29" s="1"/>
      <c r="J29" s="1"/>
      <c r="K29" s="2"/>
      <c r="L29" s="2"/>
      <c r="M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5.75">
      <c r="A32" s="2"/>
      <c r="B32" s="136" t="s">
        <v>243</v>
      </c>
      <c r="C32" s="136"/>
      <c r="D32" s="136"/>
      <c r="E32" s="2"/>
      <c r="F32" s="4"/>
      <c r="G32" s="137" t="s">
        <v>45</v>
      </c>
      <c r="H32" s="137"/>
      <c r="K32" s="2"/>
      <c r="L32" s="2"/>
      <c r="M32" s="2"/>
    </row>
    <row r="33" spans="1:13" ht="15.75">
      <c r="A33" s="2"/>
      <c r="B33" s="7" t="s">
        <v>43</v>
      </c>
      <c r="C33" s="7"/>
      <c r="D33" s="2"/>
      <c r="E33" s="2"/>
      <c r="F33" s="2" t="s">
        <v>44</v>
      </c>
      <c r="G33" s="2"/>
      <c r="H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>
      <c r="A40" s="2" t="s">
        <v>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mergeCells count="17">
    <mergeCell ref="B32:D32"/>
    <mergeCell ref="G32:H32"/>
    <mergeCell ref="A24:A25"/>
    <mergeCell ref="B18:B19"/>
    <mergeCell ref="A18:A19"/>
    <mergeCell ref="B21:B22"/>
    <mergeCell ref="A21:A22"/>
    <mergeCell ref="E15:G15"/>
    <mergeCell ref="H15:J15"/>
    <mergeCell ref="A15:A16"/>
    <mergeCell ref="B15:B16"/>
    <mergeCell ref="C15:C16"/>
    <mergeCell ref="D15:D16"/>
    <mergeCell ref="B6:G6"/>
    <mergeCell ref="B7:G7"/>
    <mergeCell ref="B9:I9"/>
    <mergeCell ref="A10:J10"/>
  </mergeCells>
  <pageMargins left="0.98425196850393704" right="0.51181102362204722" top="0.74803149606299213" bottom="0.74803149606299213" header="0.31496062992125984" footer="0.31496062992125984"/>
  <pageSetup paperSize="9" scale="65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0"/>
  <sheetViews>
    <sheetView topLeftCell="A16" workbookViewId="0">
      <selection activeCell="M12" sqref="M12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6.37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1016310</v>
      </c>
      <c r="C14" s="216" t="s">
        <v>42</v>
      </c>
      <c r="D14" s="216"/>
      <c r="E14" s="216"/>
      <c r="F14" s="216"/>
      <c r="G14" s="216"/>
      <c r="H14" s="216"/>
      <c r="I14" s="74"/>
      <c r="J14" s="74"/>
      <c r="K14" s="74"/>
      <c r="L14" s="74"/>
      <c r="M14" s="74"/>
    </row>
    <row r="15" spans="2:13" ht="15.75">
      <c r="B15" s="276" t="s">
        <v>56</v>
      </c>
      <c r="C15" s="276"/>
      <c r="D15" s="276"/>
      <c r="E15" s="276"/>
      <c r="F15" s="276"/>
      <c r="G15" s="276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276"/>
      <c r="E16" s="276"/>
      <c r="F16" s="276"/>
      <c r="G16" s="276"/>
      <c r="H16" s="1"/>
      <c r="I16" s="1"/>
      <c r="J16" s="2"/>
      <c r="K16" s="2"/>
      <c r="L16" s="2"/>
      <c r="M16" s="2"/>
    </row>
    <row r="17" spans="1:15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ht="39.75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224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5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5" ht="17.25" customHeight="1">
      <c r="A20" s="60">
        <v>1</v>
      </c>
      <c r="B20" s="217" t="s">
        <v>194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5" ht="17.25" customHeight="1">
      <c r="A21" s="60"/>
      <c r="B21" s="238" t="s">
        <v>68</v>
      </c>
      <c r="C21" s="239"/>
      <c r="D21" s="237"/>
      <c r="E21" s="237"/>
      <c r="F21" s="237"/>
      <c r="G21" s="237"/>
      <c r="H21" s="237"/>
      <c r="I21" s="61"/>
      <c r="J21" s="62"/>
      <c r="K21" s="62"/>
      <c r="L21" s="62"/>
      <c r="M21" s="62"/>
      <c r="N21" s="14"/>
    </row>
    <row r="22" spans="1:15" ht="30.75" customHeight="1">
      <c r="A22" s="60"/>
      <c r="B22" s="132" t="s">
        <v>195</v>
      </c>
      <c r="C22" s="134"/>
      <c r="D22" s="18" t="s">
        <v>176</v>
      </c>
      <c r="E22" s="237" t="s">
        <v>197</v>
      </c>
      <c r="F22" s="61"/>
      <c r="G22" s="194">
        <v>2987</v>
      </c>
      <c r="H22" s="194">
        <f>SUM(F22:G22)</f>
        <v>2987</v>
      </c>
      <c r="I22" s="61"/>
      <c r="J22" s="61">
        <v>2977.5</v>
      </c>
      <c r="K22" s="61">
        <f>SUM(I22:J22)</f>
        <v>2977.5</v>
      </c>
      <c r="L22" s="61"/>
      <c r="M22" s="61">
        <f t="shared" ref="M22:M23" si="0">J22-G22</f>
        <v>-9.5</v>
      </c>
      <c r="N22" s="25">
        <f t="shared" ref="N22:N23" si="1">SUM(L22:M22)</f>
        <v>-9.5</v>
      </c>
    </row>
    <row r="23" spans="1:15" ht="26.25" customHeight="1">
      <c r="A23" s="60"/>
      <c r="B23" s="132" t="s">
        <v>196</v>
      </c>
      <c r="C23" s="134"/>
      <c r="D23" s="18" t="s">
        <v>198</v>
      </c>
      <c r="E23" s="237" t="s">
        <v>197</v>
      </c>
      <c r="F23" s="61"/>
      <c r="G23" s="61">
        <v>2311.1</v>
      </c>
      <c r="H23" s="61">
        <f>SUM(F23:G23)</f>
        <v>2311.1</v>
      </c>
      <c r="I23" s="61"/>
      <c r="J23" s="61">
        <v>2311.1</v>
      </c>
      <c r="K23" s="61">
        <f>SUM(I23:J23)</f>
        <v>2311.1</v>
      </c>
      <c r="L23" s="61"/>
      <c r="M23" s="61">
        <f t="shared" si="0"/>
        <v>0</v>
      </c>
      <c r="N23" s="25">
        <f t="shared" si="1"/>
        <v>0</v>
      </c>
    </row>
    <row r="24" spans="1:15">
      <c r="A24" s="14"/>
      <c r="B24" s="230" t="s">
        <v>82</v>
      </c>
      <c r="C24" s="231"/>
      <c r="D24" s="232"/>
      <c r="E24" s="232"/>
      <c r="F24" s="232"/>
      <c r="G24" s="232"/>
      <c r="H24" s="232"/>
      <c r="I24" s="65"/>
      <c r="J24" s="65"/>
      <c r="K24" s="65"/>
      <c r="L24" s="61"/>
      <c r="M24" s="61"/>
      <c r="N24" s="25"/>
    </row>
    <row r="25" spans="1:15" ht="27.75" customHeight="1">
      <c r="A25" s="60"/>
      <c r="B25" s="132" t="s">
        <v>199</v>
      </c>
      <c r="C25" s="134"/>
      <c r="D25" s="61" t="s">
        <v>70</v>
      </c>
      <c r="E25" s="237" t="s">
        <v>197</v>
      </c>
      <c r="F25" s="18"/>
      <c r="G25" s="18">
        <v>1</v>
      </c>
      <c r="H25" s="18">
        <f>SUM(F25:G25)</f>
        <v>1</v>
      </c>
      <c r="I25" s="59"/>
      <c r="J25" s="25">
        <v>1</v>
      </c>
      <c r="K25" s="80">
        <f>SUM(I25:J25)</f>
        <v>1</v>
      </c>
      <c r="L25" s="61"/>
      <c r="M25" s="61">
        <f t="shared" ref="M25" si="2">J25-G25</f>
        <v>0</v>
      </c>
      <c r="N25" s="25">
        <f t="shared" ref="N25" si="3">SUM(L25:M25)</f>
        <v>0</v>
      </c>
    </row>
    <row r="26" spans="1:15" ht="15.75" customHeight="1">
      <c r="A26" s="14"/>
      <c r="B26" s="130" t="s">
        <v>120</v>
      </c>
      <c r="C26" s="131"/>
      <c r="D26" s="18"/>
      <c r="E26" s="57"/>
      <c r="F26" s="61"/>
      <c r="G26" s="57"/>
      <c r="H26" s="68"/>
      <c r="I26" s="70"/>
      <c r="J26" s="65"/>
      <c r="K26" s="69"/>
      <c r="L26" s="61"/>
      <c r="M26" s="61"/>
      <c r="N26" s="25"/>
    </row>
    <row r="27" spans="1:15" ht="63" customHeight="1">
      <c r="A27" s="14"/>
      <c r="B27" s="87" t="s">
        <v>200</v>
      </c>
      <c r="C27" s="88"/>
      <c r="D27" s="18" t="s">
        <v>176</v>
      </c>
      <c r="E27" s="237" t="s">
        <v>202</v>
      </c>
      <c r="F27" s="237"/>
      <c r="G27" s="229">
        <f>2987/1</f>
        <v>2987</v>
      </c>
      <c r="H27" s="194">
        <f>SUM(F27:G27)</f>
        <v>2987</v>
      </c>
      <c r="I27" s="61"/>
      <c r="J27" s="61">
        <v>2977.5</v>
      </c>
      <c r="K27" s="80">
        <f>SUM(I27:J27)</f>
        <v>2977.5</v>
      </c>
      <c r="L27" s="61"/>
      <c r="M27" s="61">
        <f t="shared" ref="M27:M28" si="4">J27-G27</f>
        <v>-9.5</v>
      </c>
      <c r="N27" s="25">
        <f t="shared" ref="N27:N28" si="5">SUM(L27:M27)</f>
        <v>-9.5</v>
      </c>
      <c r="O27" s="236"/>
    </row>
    <row r="28" spans="1:15" ht="52.5" customHeight="1">
      <c r="A28" s="60"/>
      <c r="B28" s="87" t="s">
        <v>201</v>
      </c>
      <c r="C28" s="88"/>
      <c r="D28" s="18" t="s">
        <v>176</v>
      </c>
      <c r="E28" s="237" t="s">
        <v>203</v>
      </c>
      <c r="F28" s="237"/>
      <c r="G28" s="229">
        <f>2987/2311.1</f>
        <v>1.2924581368179655</v>
      </c>
      <c r="H28" s="194">
        <f>SUM(F28:G28)</f>
        <v>1.2924581368179655</v>
      </c>
      <c r="I28" s="61"/>
      <c r="J28" s="229">
        <v>1.3</v>
      </c>
      <c r="K28" s="194">
        <f>SUM(I28:J28)</f>
        <v>1.3</v>
      </c>
      <c r="L28" s="61"/>
      <c r="M28" s="68">
        <f t="shared" si="4"/>
        <v>7.5418631820345361E-3</v>
      </c>
      <c r="N28" s="80">
        <f t="shared" si="5"/>
        <v>7.5418631820345361E-3</v>
      </c>
      <c r="O28" s="236"/>
    </row>
    <row r="29" spans="1:15" ht="15.75">
      <c r="A29" s="14"/>
      <c r="B29" s="183" t="s">
        <v>89</v>
      </c>
      <c r="C29" s="183"/>
      <c r="D29" s="183"/>
      <c r="E29" s="183"/>
      <c r="F29" s="183"/>
      <c r="G29" s="183"/>
      <c r="H29" s="183"/>
      <c r="I29" s="221"/>
      <c r="J29" s="221"/>
      <c r="K29" s="221"/>
      <c r="L29" s="221"/>
      <c r="M29" s="221"/>
      <c r="N29" s="14"/>
    </row>
    <row r="30" spans="1:15" ht="65.25" customHeight="1">
      <c r="A30" s="14"/>
      <c r="B30" s="87" t="s">
        <v>204</v>
      </c>
      <c r="C30" s="88"/>
      <c r="D30" s="61" t="s">
        <v>134</v>
      </c>
      <c r="E30" s="237" t="s">
        <v>207</v>
      </c>
      <c r="F30" s="61"/>
      <c r="G30" s="61">
        <v>55.7</v>
      </c>
      <c r="H30" s="61">
        <f>SUM(F30:G30)</f>
        <v>55.7</v>
      </c>
      <c r="I30" s="25"/>
      <c r="J30" s="25">
        <v>55.5</v>
      </c>
      <c r="K30" s="25">
        <f>SUM(I30:J30)</f>
        <v>55.5</v>
      </c>
      <c r="L30" s="61"/>
      <c r="M30" s="68">
        <f t="shared" ref="M30" si="6">J30-G30</f>
        <v>-0.20000000000000284</v>
      </c>
      <c r="N30" s="80">
        <f t="shared" ref="N30" si="7">SUM(L30:M30)</f>
        <v>-0.20000000000000284</v>
      </c>
    </row>
    <row r="31" spans="1:15" ht="64.5" customHeight="1">
      <c r="A31" s="14"/>
      <c r="B31" s="87" t="s">
        <v>205</v>
      </c>
      <c r="C31" s="88"/>
      <c r="D31" s="61" t="s">
        <v>134</v>
      </c>
      <c r="E31" s="237" t="s">
        <v>208</v>
      </c>
      <c r="F31" s="237"/>
      <c r="G31" s="237"/>
      <c r="H31" s="184"/>
      <c r="I31" s="25"/>
      <c r="J31" s="25"/>
      <c r="K31" s="25"/>
      <c r="L31" s="61"/>
      <c r="M31" s="61"/>
      <c r="N31" s="25"/>
    </row>
    <row r="32" spans="1:15" ht="66" customHeight="1">
      <c r="A32" s="14"/>
      <c r="B32" s="87" t="s">
        <v>206</v>
      </c>
      <c r="C32" s="88"/>
      <c r="D32" s="61" t="s">
        <v>134</v>
      </c>
      <c r="E32" s="237" t="s">
        <v>209</v>
      </c>
      <c r="F32" s="237"/>
      <c r="G32" s="237"/>
      <c r="H32" s="184"/>
      <c r="I32" s="61"/>
      <c r="J32" s="61"/>
      <c r="K32" s="61"/>
      <c r="L32" s="61"/>
      <c r="M32" s="61"/>
      <c r="N32" s="25"/>
    </row>
    <row r="33" spans="1:14" ht="15.75" customHeight="1">
      <c r="A33" s="14">
        <v>2</v>
      </c>
      <c r="B33" s="87" t="s">
        <v>210</v>
      </c>
      <c r="C33" s="89"/>
      <c r="D33" s="89"/>
      <c r="E33" s="88"/>
      <c r="F33" s="237"/>
      <c r="G33" s="237"/>
      <c r="H33" s="184"/>
      <c r="I33" s="61"/>
      <c r="J33" s="61"/>
      <c r="K33" s="61"/>
      <c r="L33" s="61"/>
      <c r="M33" s="61"/>
      <c r="N33" s="25"/>
    </row>
    <row r="34" spans="1:14" ht="15.75" customHeight="1">
      <c r="A34" s="14"/>
      <c r="B34" s="241" t="s">
        <v>68</v>
      </c>
      <c r="C34" s="242"/>
      <c r="D34" s="240"/>
      <c r="E34" s="240"/>
      <c r="F34" s="240"/>
      <c r="G34" s="240"/>
      <c r="H34" s="240"/>
      <c r="I34" s="61"/>
      <c r="J34" s="61"/>
      <c r="K34" s="61"/>
      <c r="L34" s="61"/>
      <c r="M34" s="61"/>
      <c r="N34" s="25"/>
    </row>
    <row r="35" spans="1:14" ht="30" customHeight="1">
      <c r="A35" s="14"/>
      <c r="B35" s="87" t="s">
        <v>211</v>
      </c>
      <c r="C35" s="88"/>
      <c r="D35" s="57" t="s">
        <v>176</v>
      </c>
      <c r="E35" s="237" t="s">
        <v>197</v>
      </c>
      <c r="F35" s="184"/>
      <c r="G35" s="61">
        <v>34.700000000000003</v>
      </c>
      <c r="H35" s="61">
        <f>SUM(F35:G35)</f>
        <v>34.700000000000003</v>
      </c>
      <c r="I35" s="61"/>
      <c r="J35" s="61">
        <v>34.700000000000003</v>
      </c>
      <c r="K35" s="61">
        <f>SUM(I35:J35)</f>
        <v>34.700000000000003</v>
      </c>
      <c r="L35" s="61"/>
      <c r="M35" s="68">
        <f t="shared" ref="M35" si="8">J35-G35</f>
        <v>0</v>
      </c>
      <c r="N35" s="80">
        <f t="shared" ref="N35" si="9">SUM(L35:M35)</f>
        <v>0</v>
      </c>
    </row>
    <row r="36" spans="1:14" ht="15.75" customHeight="1">
      <c r="A36" s="14"/>
      <c r="B36" s="241" t="s">
        <v>82</v>
      </c>
      <c r="C36" s="242"/>
      <c r="D36" s="240"/>
      <c r="E36" s="240"/>
      <c r="F36" s="240"/>
      <c r="G36" s="240"/>
      <c r="H36" s="240"/>
      <c r="I36" s="61"/>
      <c r="J36" s="61"/>
      <c r="K36" s="61"/>
      <c r="L36" s="61"/>
      <c r="M36" s="61"/>
      <c r="N36" s="25"/>
    </row>
    <row r="37" spans="1:14" ht="28.5" customHeight="1">
      <c r="A37" s="14"/>
      <c r="B37" s="87" t="s">
        <v>212</v>
      </c>
      <c r="C37" s="88"/>
      <c r="D37" s="184" t="s">
        <v>70</v>
      </c>
      <c r="E37" s="237" t="s">
        <v>197</v>
      </c>
      <c r="F37" s="61"/>
      <c r="G37" s="61">
        <v>1</v>
      </c>
      <c r="H37" s="61">
        <f>SUM(F37:G37)</f>
        <v>1</v>
      </c>
      <c r="I37" s="61"/>
      <c r="J37" s="61">
        <v>1</v>
      </c>
      <c r="K37" s="61">
        <f>SUM(I37:J37)</f>
        <v>1</v>
      </c>
      <c r="L37" s="61"/>
      <c r="M37" s="68">
        <f t="shared" ref="M37" si="10">J37-G37</f>
        <v>0</v>
      </c>
      <c r="N37" s="80">
        <f t="shared" ref="N37" si="11">SUM(L37:M37)</f>
        <v>0</v>
      </c>
    </row>
    <row r="38" spans="1:14" ht="15.75" customHeight="1">
      <c r="A38" s="14"/>
      <c r="B38" s="241" t="s">
        <v>120</v>
      </c>
      <c r="C38" s="242"/>
      <c r="D38" s="240"/>
      <c r="E38" s="240"/>
      <c r="F38" s="240"/>
      <c r="G38" s="240"/>
      <c r="H38" s="240"/>
      <c r="I38" s="61"/>
      <c r="J38" s="61"/>
      <c r="K38" s="61"/>
      <c r="L38" s="61"/>
      <c r="M38" s="61"/>
      <c r="N38" s="25"/>
    </row>
    <row r="39" spans="1:14" ht="66" customHeight="1">
      <c r="A39" s="14"/>
      <c r="B39" s="87" t="s">
        <v>213</v>
      </c>
      <c r="C39" s="88"/>
      <c r="D39" s="57" t="s">
        <v>176</v>
      </c>
      <c r="E39" s="184" t="s">
        <v>214</v>
      </c>
      <c r="F39" s="57"/>
      <c r="G39" s="61">
        <v>34.700000000000003</v>
      </c>
      <c r="H39" s="61">
        <f>SUM(F39:G39)</f>
        <v>34.700000000000003</v>
      </c>
      <c r="I39" s="61"/>
      <c r="J39" s="61">
        <v>34.700000000000003</v>
      </c>
      <c r="K39" s="61">
        <f>SUM(I39:J39)</f>
        <v>34.700000000000003</v>
      </c>
      <c r="L39" s="61"/>
      <c r="M39" s="68">
        <f t="shared" ref="M39" si="12">J39-G39</f>
        <v>0</v>
      </c>
      <c r="N39" s="80">
        <f t="shared" ref="N39" si="13">SUM(L39:M39)</f>
        <v>0</v>
      </c>
    </row>
    <row r="40" spans="1:14" ht="15.75" customHeight="1">
      <c r="A40" s="14"/>
      <c r="B40" s="241" t="s">
        <v>89</v>
      </c>
      <c r="C40" s="242"/>
      <c r="D40" s="240"/>
      <c r="E40" s="240"/>
      <c r="F40" s="240"/>
      <c r="G40" s="240"/>
      <c r="H40" s="240"/>
      <c r="I40" s="61"/>
      <c r="J40" s="61"/>
      <c r="K40" s="61"/>
      <c r="L40" s="61"/>
      <c r="M40" s="61"/>
      <c r="N40" s="25"/>
    </row>
    <row r="41" spans="1:14" ht="76.5" customHeight="1">
      <c r="A41" s="14"/>
      <c r="B41" s="87" t="s">
        <v>215</v>
      </c>
      <c r="C41" s="88"/>
      <c r="D41" s="61" t="s">
        <v>134</v>
      </c>
      <c r="E41" s="184" t="s">
        <v>216</v>
      </c>
      <c r="F41" s="61"/>
      <c r="G41" s="61">
        <v>100</v>
      </c>
      <c r="H41" s="61">
        <f>SUM(F41:G41)</f>
        <v>100</v>
      </c>
      <c r="I41" s="61"/>
      <c r="J41" s="61">
        <v>100</v>
      </c>
      <c r="K41" s="61">
        <f>SUM(I41:J41)</f>
        <v>100</v>
      </c>
      <c r="L41" s="61"/>
      <c r="M41" s="68">
        <f t="shared" ref="M41" si="14">J41-G41</f>
        <v>0</v>
      </c>
      <c r="N41" s="80">
        <f t="shared" ref="N41" si="15">SUM(L41:M41)</f>
        <v>0</v>
      </c>
    </row>
    <row r="42" spans="1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4" ht="15.75">
      <c r="B45" s="136" t="s">
        <v>243</v>
      </c>
      <c r="C45" s="136"/>
      <c r="D45" s="136"/>
      <c r="E45" s="2"/>
      <c r="F45" s="2"/>
      <c r="G45" s="2"/>
      <c r="H45" s="4"/>
      <c r="I45" s="137" t="s">
        <v>45</v>
      </c>
      <c r="J45" s="137"/>
      <c r="K45" s="2"/>
      <c r="L45" s="2"/>
      <c r="M45" s="2"/>
    </row>
    <row r="46" spans="1:14" ht="15.75">
      <c r="B46" s="7" t="s">
        <v>43</v>
      </c>
      <c r="C46" s="7"/>
      <c r="D46" s="2"/>
      <c r="E46" s="2"/>
      <c r="F46" s="2"/>
      <c r="G46" s="2"/>
      <c r="H46" s="2" t="s">
        <v>44</v>
      </c>
      <c r="I46" s="2"/>
      <c r="J46" s="2"/>
      <c r="K46" s="2"/>
      <c r="L46" s="2"/>
      <c r="M46" s="2"/>
    </row>
    <row r="47" spans="1:14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33">
    <mergeCell ref="B40:C40"/>
    <mergeCell ref="B41:C41"/>
    <mergeCell ref="B36:C36"/>
    <mergeCell ref="B37:C37"/>
    <mergeCell ref="B38:C38"/>
    <mergeCell ref="B39:C39"/>
    <mergeCell ref="B33:E33"/>
    <mergeCell ref="B34:C34"/>
    <mergeCell ref="B35:C35"/>
    <mergeCell ref="B31:C31"/>
    <mergeCell ref="C14:H14"/>
    <mergeCell ref="B21:C21"/>
    <mergeCell ref="B22:C22"/>
    <mergeCell ref="B23:C23"/>
    <mergeCell ref="B27:C27"/>
    <mergeCell ref="B28:C28"/>
    <mergeCell ref="B30:C30"/>
    <mergeCell ref="B32:C32"/>
    <mergeCell ref="B45:D45"/>
    <mergeCell ref="I45:J45"/>
    <mergeCell ref="I18:K18"/>
    <mergeCell ref="L18:N18"/>
    <mergeCell ref="B20:H20"/>
    <mergeCell ref="B25:C25"/>
    <mergeCell ref="B26:C26"/>
    <mergeCell ref="D6:J6"/>
    <mergeCell ref="C9:J9"/>
    <mergeCell ref="B10:K10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topLeftCell="A13" workbookViewId="0">
      <selection activeCell="O17" sqref="O17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12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137" t="s">
        <v>14</v>
      </c>
      <c r="F12" s="137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33" customHeight="1">
      <c r="B14" s="55">
        <v>1013160</v>
      </c>
      <c r="C14" s="216" t="s">
        <v>40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2:13" ht="15.75">
      <c r="B15" s="276" t="s">
        <v>56</v>
      </c>
      <c r="C15" s="276"/>
      <c r="D15" s="276"/>
      <c r="E15" s="276"/>
      <c r="F15" s="276"/>
      <c r="G15" s="276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276"/>
      <c r="E16" s="276"/>
      <c r="F16" s="276"/>
      <c r="G16" s="276"/>
      <c r="H16" s="1"/>
      <c r="I16" s="1"/>
      <c r="J16" s="2"/>
      <c r="K16" s="2"/>
      <c r="L16" s="2"/>
      <c r="M16" s="2"/>
    </row>
    <row r="17" spans="1:15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ht="42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5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5" ht="31.5" customHeight="1">
      <c r="A20" s="60">
        <v>1</v>
      </c>
      <c r="B20" s="217" t="s">
        <v>183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5">
      <c r="A21" s="14"/>
      <c r="B21" s="230" t="s">
        <v>82</v>
      </c>
      <c r="C21" s="231"/>
      <c r="D21" s="232"/>
      <c r="E21" s="232"/>
      <c r="F21" s="232"/>
      <c r="G21" s="232"/>
      <c r="H21" s="232"/>
      <c r="I21" s="65"/>
      <c r="J21" s="65"/>
      <c r="K21" s="65"/>
      <c r="L21" s="61"/>
      <c r="M21" s="61"/>
      <c r="N21" s="25"/>
    </row>
    <row r="22" spans="1:15" ht="32.25" customHeight="1">
      <c r="A22" s="60"/>
      <c r="B22" s="132" t="s">
        <v>184</v>
      </c>
      <c r="C22" s="134"/>
      <c r="D22" s="61" t="s">
        <v>85</v>
      </c>
      <c r="E22" s="57" t="s">
        <v>180</v>
      </c>
      <c r="F22" s="18">
        <v>40</v>
      </c>
      <c r="G22" s="222"/>
      <c r="H22" s="18">
        <f>SUM(F22:G22)</f>
        <v>40</v>
      </c>
      <c r="I22" s="59">
        <v>40</v>
      </c>
      <c r="J22" s="25"/>
      <c r="K22" s="80">
        <f>SUM(I22:J22)</f>
        <v>40</v>
      </c>
      <c r="L22" s="61">
        <f t="shared" ref="L22" si="0">I22-F22</f>
        <v>0</v>
      </c>
      <c r="M22" s="61"/>
      <c r="N22" s="25">
        <f t="shared" ref="N22" si="1">SUM(L22:M22)</f>
        <v>0</v>
      </c>
    </row>
    <row r="23" spans="1:15" ht="32.25" customHeight="1">
      <c r="A23" s="60"/>
      <c r="B23" s="132" t="s">
        <v>185</v>
      </c>
      <c r="C23" s="134"/>
      <c r="D23" s="61" t="s">
        <v>85</v>
      </c>
      <c r="E23" s="57" t="s">
        <v>180</v>
      </c>
      <c r="F23" s="18">
        <v>40</v>
      </c>
      <c r="G23" s="222"/>
      <c r="H23" s="18">
        <f>SUM(F23:G23)</f>
        <v>40</v>
      </c>
      <c r="I23" s="59">
        <v>40</v>
      </c>
      <c r="J23" s="25"/>
      <c r="K23" s="80">
        <f>SUM(I23:J23)</f>
        <v>40</v>
      </c>
      <c r="L23" s="61">
        <f t="shared" ref="L23" si="2">I23-F23</f>
        <v>0</v>
      </c>
      <c r="M23" s="61"/>
      <c r="N23" s="25">
        <f t="shared" ref="N23" si="3">SUM(L23:M23)</f>
        <v>0</v>
      </c>
    </row>
    <row r="24" spans="1:15" ht="16.5" customHeight="1">
      <c r="A24" s="14"/>
      <c r="B24" s="130" t="s">
        <v>120</v>
      </c>
      <c r="C24" s="131"/>
      <c r="D24" s="18"/>
      <c r="E24" s="57"/>
      <c r="F24" s="61"/>
      <c r="G24" s="57"/>
      <c r="H24" s="68"/>
      <c r="I24" s="70"/>
      <c r="J24" s="65"/>
      <c r="K24" s="69"/>
      <c r="L24" s="61"/>
      <c r="M24" s="61"/>
      <c r="N24" s="25"/>
    </row>
    <row r="25" spans="1:15" ht="51.75" customHeight="1">
      <c r="A25" s="14"/>
      <c r="B25" s="87" t="s">
        <v>186</v>
      </c>
      <c r="C25" s="88"/>
      <c r="D25" s="18" t="s">
        <v>123</v>
      </c>
      <c r="E25" s="57" t="s">
        <v>188</v>
      </c>
      <c r="F25" s="61">
        <v>4725</v>
      </c>
      <c r="G25" s="61"/>
      <c r="H25" s="18">
        <f>SUM(F25:G25)</f>
        <v>4725</v>
      </c>
      <c r="I25" s="61">
        <v>4725</v>
      </c>
      <c r="J25" s="65"/>
      <c r="K25" s="80">
        <f>SUM(I25:J25)</f>
        <v>4725</v>
      </c>
      <c r="L25" s="61">
        <f t="shared" ref="L25" si="4">I25-F25</f>
        <v>0</v>
      </c>
      <c r="M25" s="61"/>
      <c r="N25" s="25">
        <f t="shared" ref="N25" si="5">SUM(L25:M25)</f>
        <v>0</v>
      </c>
      <c r="O25" s="236"/>
    </row>
    <row r="26" spans="1:15" ht="52.5" customHeight="1">
      <c r="A26" s="60"/>
      <c r="B26" s="87" t="s">
        <v>187</v>
      </c>
      <c r="C26" s="88"/>
      <c r="D26" s="18" t="s">
        <v>123</v>
      </c>
      <c r="E26" s="57" t="s">
        <v>189</v>
      </c>
      <c r="F26" s="61">
        <v>4725</v>
      </c>
      <c r="G26" s="61"/>
      <c r="H26" s="18">
        <f>SUM(F26:G26)</f>
        <v>4725</v>
      </c>
      <c r="I26" s="61">
        <v>4725</v>
      </c>
      <c r="J26" s="71"/>
      <c r="K26" s="68">
        <f>SUM(I26:J26)</f>
        <v>4725</v>
      </c>
      <c r="L26" s="61">
        <f t="shared" ref="L26" si="6">I26-F26</f>
        <v>0</v>
      </c>
      <c r="M26" s="61"/>
      <c r="N26" s="25">
        <f t="shared" ref="N26" si="7">SUM(L26:M26)</f>
        <v>0</v>
      </c>
      <c r="O26" s="236"/>
    </row>
    <row r="27" spans="1:15" ht="15.75">
      <c r="A27" s="14"/>
      <c r="B27" s="183" t="s">
        <v>89</v>
      </c>
      <c r="C27" s="183"/>
      <c r="D27" s="183"/>
      <c r="E27" s="183"/>
      <c r="F27" s="183"/>
      <c r="G27" s="183"/>
      <c r="H27" s="183"/>
      <c r="I27" s="221"/>
      <c r="J27" s="221"/>
      <c r="K27" s="221"/>
      <c r="L27" s="221"/>
      <c r="M27" s="221"/>
      <c r="N27" s="14"/>
    </row>
    <row r="28" spans="1:15" ht="67.5" customHeight="1">
      <c r="A28" s="14"/>
      <c r="B28" s="87" t="s">
        <v>190</v>
      </c>
      <c r="C28" s="88"/>
      <c r="D28" s="61" t="s">
        <v>134</v>
      </c>
      <c r="E28" s="57" t="s">
        <v>192</v>
      </c>
      <c r="F28" s="61">
        <v>-11.1</v>
      </c>
      <c r="G28" s="61"/>
      <c r="H28" s="61">
        <f>SUM(F28:G28)</f>
        <v>-11.1</v>
      </c>
      <c r="I28" s="25">
        <v>-11.1</v>
      </c>
      <c r="J28" s="25"/>
      <c r="K28" s="25">
        <f>SUM(I28:J28)</f>
        <v>-11.1</v>
      </c>
      <c r="L28" s="61">
        <f t="shared" ref="L28" si="8">I28-F28</f>
        <v>0</v>
      </c>
      <c r="M28" s="61"/>
      <c r="N28" s="25">
        <f t="shared" ref="N28" si="9">SUM(L28:M28)</f>
        <v>0</v>
      </c>
    </row>
    <row r="29" spans="1:15" ht="66" customHeight="1">
      <c r="A29" s="14"/>
      <c r="B29" s="87" t="s">
        <v>191</v>
      </c>
      <c r="C29" s="88"/>
      <c r="D29" s="61" t="s">
        <v>134</v>
      </c>
      <c r="E29" s="57" t="s">
        <v>193</v>
      </c>
      <c r="F29" s="61">
        <v>1</v>
      </c>
      <c r="G29" s="61"/>
      <c r="H29" s="61">
        <f>SUM(F29:G29)</f>
        <v>1</v>
      </c>
      <c r="I29" s="61">
        <v>1</v>
      </c>
      <c r="J29" s="61"/>
      <c r="K29" s="61">
        <f>SUM(I29:J29)</f>
        <v>1</v>
      </c>
      <c r="L29" s="61">
        <f t="shared" ref="L29" si="10">I29-F29</f>
        <v>0</v>
      </c>
      <c r="M29" s="61"/>
      <c r="N29" s="25">
        <f t="shared" ref="N29" si="11">SUM(L29:M29)</f>
        <v>0</v>
      </c>
    </row>
    <row r="30" spans="1:15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5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5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75">
      <c r="B33" s="136" t="s">
        <v>243</v>
      </c>
      <c r="C33" s="136"/>
      <c r="D33" s="136"/>
      <c r="E33" s="2"/>
      <c r="F33" s="2"/>
      <c r="G33" s="2"/>
      <c r="H33" s="4"/>
      <c r="I33" s="137" t="s">
        <v>45</v>
      </c>
      <c r="J33" s="137"/>
      <c r="K33" s="2"/>
      <c r="L33" s="2"/>
      <c r="M33" s="2"/>
    </row>
    <row r="34" spans="2:13" ht="15.75">
      <c r="B34" s="7" t="s">
        <v>43</v>
      </c>
      <c r="C34" s="7"/>
      <c r="D34" s="2"/>
      <c r="E34" s="2"/>
      <c r="F34" s="2"/>
      <c r="G34" s="2"/>
      <c r="H34" s="2" t="s">
        <v>44</v>
      </c>
      <c r="I34" s="2"/>
      <c r="J34" s="2"/>
      <c r="K34" s="2"/>
      <c r="L34" s="2"/>
      <c r="M34" s="2"/>
    </row>
    <row r="35" spans="2:13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22">
    <mergeCell ref="B28:C28"/>
    <mergeCell ref="B29:C29"/>
    <mergeCell ref="B33:D33"/>
    <mergeCell ref="I33:J33"/>
    <mergeCell ref="B23:C23"/>
    <mergeCell ref="B25:C25"/>
    <mergeCell ref="I18:K18"/>
    <mergeCell ref="L18:N18"/>
    <mergeCell ref="B20:H20"/>
    <mergeCell ref="B22:C22"/>
    <mergeCell ref="B24:C24"/>
    <mergeCell ref="B26:C26"/>
    <mergeCell ref="D6:J6"/>
    <mergeCell ref="C9:J9"/>
    <mergeCell ref="B10:K10"/>
    <mergeCell ref="E12:F12"/>
    <mergeCell ref="C14:M14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topLeftCell="A10" workbookViewId="0">
      <selection activeCell="F12" sqref="F12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12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1011230</v>
      </c>
      <c r="C14" s="216" t="s">
        <v>38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2:13" ht="15.75">
      <c r="B15" s="276" t="s">
        <v>56</v>
      </c>
      <c r="C15" s="276"/>
      <c r="D15" s="276"/>
      <c r="E15" s="276"/>
      <c r="F15" s="276"/>
      <c r="G15" s="276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276"/>
      <c r="E16" s="276"/>
      <c r="F16" s="276"/>
      <c r="G16" s="276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39.75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4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31.5" customHeight="1">
      <c r="A20" s="60">
        <v>1</v>
      </c>
      <c r="B20" s="217" t="s">
        <v>178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4">
      <c r="A21" s="14"/>
      <c r="B21" s="230" t="s">
        <v>82</v>
      </c>
      <c r="C21" s="231"/>
      <c r="D21" s="232"/>
      <c r="E21" s="232"/>
      <c r="F21" s="232"/>
      <c r="G21" s="232"/>
      <c r="H21" s="232"/>
      <c r="I21" s="65"/>
      <c r="J21" s="65"/>
      <c r="K21" s="65"/>
      <c r="L21" s="61"/>
      <c r="M21" s="61"/>
      <c r="N21" s="25"/>
    </row>
    <row r="22" spans="1:14" ht="30.75" customHeight="1">
      <c r="A22" s="60"/>
      <c r="B22" s="130" t="s">
        <v>179</v>
      </c>
      <c r="C22" s="131"/>
      <c r="D22" s="58" t="s">
        <v>70</v>
      </c>
      <c r="E22" s="57" t="s">
        <v>180</v>
      </c>
      <c r="F22" s="61">
        <v>21</v>
      </c>
      <c r="G22" s="57"/>
      <c r="H22" s="68">
        <f>SUM(F22:G22)</f>
        <v>21</v>
      </c>
      <c r="I22" s="59">
        <v>20</v>
      </c>
      <c r="J22" s="25"/>
      <c r="K22" s="80">
        <f>SUM(I22:J22)</f>
        <v>20</v>
      </c>
      <c r="L22" s="61">
        <f t="shared" ref="L22" si="0">I22-F22</f>
        <v>-1</v>
      </c>
      <c r="M22" s="61"/>
      <c r="N22" s="25">
        <f t="shared" ref="N22" si="1">SUM(L22:M22)</f>
        <v>-1</v>
      </c>
    </row>
    <row r="23" spans="1:14" ht="15.75" customHeight="1">
      <c r="A23" s="14"/>
      <c r="B23" s="130" t="s">
        <v>120</v>
      </c>
      <c r="C23" s="131"/>
      <c r="D23" s="58"/>
      <c r="E23" s="57"/>
      <c r="F23" s="61"/>
      <c r="G23" s="57"/>
      <c r="H23" s="68"/>
      <c r="I23" s="70"/>
      <c r="J23" s="65"/>
      <c r="K23" s="69"/>
      <c r="L23" s="61"/>
      <c r="M23" s="61"/>
      <c r="N23" s="25"/>
    </row>
    <row r="24" spans="1:14" ht="40.5" customHeight="1">
      <c r="A24" s="60"/>
      <c r="B24" s="132" t="s">
        <v>181</v>
      </c>
      <c r="C24" s="134"/>
      <c r="D24" s="58" t="s">
        <v>123</v>
      </c>
      <c r="E24" s="228" t="s">
        <v>182</v>
      </c>
      <c r="F24" s="68">
        <v>1810</v>
      </c>
      <c r="G24" s="234"/>
      <c r="H24" s="68">
        <f>SUM(F24:G24)</f>
        <v>1810</v>
      </c>
      <c r="I24" s="68">
        <v>1810</v>
      </c>
      <c r="J24" s="235"/>
      <c r="K24" s="68">
        <f>SUM(I24:J24)</f>
        <v>1810</v>
      </c>
      <c r="L24" s="61">
        <f t="shared" ref="L24" si="2">I24-F24</f>
        <v>0</v>
      </c>
      <c r="M24" s="61"/>
      <c r="N24" s="25">
        <f t="shared" ref="N24" si="3">SUM(L24:M24)</f>
        <v>0</v>
      </c>
    </row>
    <row r="25" spans="1:14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5.75">
      <c r="B28" s="136" t="s">
        <v>243</v>
      </c>
      <c r="C28" s="136"/>
      <c r="D28" s="136"/>
      <c r="E28" s="2"/>
      <c r="F28" s="2"/>
      <c r="G28" s="2"/>
      <c r="H28" s="4"/>
      <c r="I28" s="137" t="s">
        <v>45</v>
      </c>
      <c r="J28" s="137"/>
      <c r="K28" s="2"/>
      <c r="L28" s="2"/>
      <c r="M28" s="2"/>
    </row>
    <row r="29" spans="1:14" ht="15.75">
      <c r="B29" s="7" t="s">
        <v>43</v>
      </c>
      <c r="C29" s="7"/>
      <c r="D29" s="2"/>
      <c r="E29" s="2"/>
      <c r="F29" s="2"/>
      <c r="G29" s="2"/>
      <c r="H29" s="2" t="s">
        <v>44</v>
      </c>
      <c r="I29" s="2"/>
      <c r="J29" s="2"/>
      <c r="K29" s="2"/>
      <c r="L29" s="2"/>
      <c r="M29" s="2"/>
    </row>
    <row r="30" spans="1:14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17">
    <mergeCell ref="B24:C24"/>
    <mergeCell ref="B28:D28"/>
    <mergeCell ref="I28:J28"/>
    <mergeCell ref="C14:M14"/>
    <mergeCell ref="B22:C22"/>
    <mergeCell ref="B23:C23"/>
    <mergeCell ref="I18:K18"/>
    <mergeCell ref="L18:N18"/>
    <mergeCell ref="B20:H20"/>
    <mergeCell ref="D6:J6"/>
    <mergeCell ref="C9:J9"/>
    <mergeCell ref="B10:K10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40"/>
  <sheetViews>
    <sheetView topLeftCell="A17" workbookViewId="0">
      <selection activeCell="B15" sqref="B15:F16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12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1011210</v>
      </c>
      <c r="C14" s="216" t="s">
        <v>37</v>
      </c>
      <c r="D14" s="216"/>
      <c r="E14" s="216"/>
      <c r="F14" s="216"/>
      <c r="G14" s="216"/>
      <c r="H14" s="74"/>
      <c r="I14" s="74"/>
      <c r="J14" s="74"/>
      <c r="K14" s="11"/>
      <c r="L14" s="11"/>
      <c r="M14" s="11"/>
    </row>
    <row r="15" spans="2:13" ht="15.75">
      <c r="B15" s="276" t="s">
        <v>56</v>
      </c>
      <c r="C15" s="276"/>
      <c r="D15" s="276"/>
      <c r="E15" s="276"/>
      <c r="F15" s="276"/>
      <c r="G15" s="1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276"/>
      <c r="E16" s="276"/>
      <c r="F16" s="276"/>
      <c r="G16" s="1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40.5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4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15.75" customHeight="1">
      <c r="A20" s="60">
        <v>1</v>
      </c>
      <c r="B20" s="217" t="s">
        <v>171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4" ht="15.75" customHeight="1">
      <c r="A21" s="218"/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15.75" customHeight="1">
      <c r="A22" s="60"/>
      <c r="B22" s="132" t="s">
        <v>172</v>
      </c>
      <c r="C22" s="133"/>
      <c r="D22" s="58" t="s">
        <v>70</v>
      </c>
      <c r="E22" s="57" t="s">
        <v>146</v>
      </c>
      <c r="F22" s="61">
        <v>2</v>
      </c>
      <c r="G22" s="61"/>
      <c r="H22" s="61">
        <f>SUM(F22:G22)</f>
        <v>2</v>
      </c>
      <c r="I22" s="59">
        <v>2</v>
      </c>
      <c r="J22" s="65"/>
      <c r="K22" s="61">
        <f t="shared" ref="K22:K25" si="0">SUM(I22:J22)</f>
        <v>2</v>
      </c>
      <c r="L22" s="61">
        <f t="shared" ref="L22:L26" si="1">I22-F22</f>
        <v>0</v>
      </c>
      <c r="M22" s="61"/>
      <c r="N22" s="25">
        <f t="shared" ref="N22:N26" si="2">SUM(L22:M22)</f>
        <v>0</v>
      </c>
    </row>
    <row r="23" spans="1:14" ht="30.75" customHeight="1">
      <c r="A23" s="60"/>
      <c r="B23" s="132" t="s">
        <v>76</v>
      </c>
      <c r="C23" s="133"/>
      <c r="D23" s="58" t="s">
        <v>70</v>
      </c>
      <c r="E23" s="57" t="s">
        <v>77</v>
      </c>
      <c r="F23" s="61">
        <v>4</v>
      </c>
      <c r="G23" s="63"/>
      <c r="H23" s="61">
        <f>SUM(F23:G23)</f>
        <v>4</v>
      </c>
      <c r="I23" s="76">
        <v>4.13</v>
      </c>
      <c r="J23" s="25"/>
      <c r="K23" s="195">
        <f>SUM(I23:J23)</f>
        <v>4.13</v>
      </c>
      <c r="L23" s="61">
        <f t="shared" ref="L23" si="3">I23-F23</f>
        <v>0.12999999999999989</v>
      </c>
      <c r="M23" s="61"/>
      <c r="N23" s="25">
        <f t="shared" ref="N23" si="4">SUM(L23:M23)</f>
        <v>0.12999999999999989</v>
      </c>
    </row>
    <row r="24" spans="1:14" ht="47.25" customHeight="1">
      <c r="A24" s="60"/>
      <c r="B24" s="132" t="s">
        <v>78</v>
      </c>
      <c r="C24" s="133"/>
      <c r="D24" s="58" t="s">
        <v>70</v>
      </c>
      <c r="E24" s="57" t="s">
        <v>77</v>
      </c>
      <c r="F24" s="61">
        <v>7.5</v>
      </c>
      <c r="G24" s="63"/>
      <c r="H24" s="61">
        <f>SUM(F24:G24)</f>
        <v>7.5</v>
      </c>
      <c r="I24" s="76">
        <v>6.34</v>
      </c>
      <c r="J24" s="25"/>
      <c r="K24" s="195">
        <f>SUM(I24:J24)</f>
        <v>6.34</v>
      </c>
      <c r="L24" s="61">
        <f t="shared" ref="L24" si="5">I24-F24</f>
        <v>-1.1600000000000001</v>
      </c>
      <c r="M24" s="61"/>
      <c r="N24" s="25">
        <f t="shared" ref="N24" si="6">SUM(L24:M24)</f>
        <v>-1.1600000000000001</v>
      </c>
    </row>
    <row r="25" spans="1:14" ht="29.25" customHeight="1">
      <c r="A25" s="60"/>
      <c r="B25" s="132" t="s">
        <v>79</v>
      </c>
      <c r="C25" s="133"/>
      <c r="D25" s="58" t="s">
        <v>70</v>
      </c>
      <c r="E25" s="57" t="s">
        <v>77</v>
      </c>
      <c r="F25" s="194">
        <v>2</v>
      </c>
      <c r="G25" s="184"/>
      <c r="H25" s="194">
        <f>SUM(F25:G25)</f>
        <v>2</v>
      </c>
      <c r="I25" s="75">
        <v>3</v>
      </c>
      <c r="J25" s="25"/>
      <c r="K25" s="194">
        <f t="shared" si="0"/>
        <v>3</v>
      </c>
      <c r="L25" s="194">
        <f t="shared" si="1"/>
        <v>1</v>
      </c>
      <c r="M25" s="194"/>
      <c r="N25" s="77">
        <f t="shared" si="2"/>
        <v>1</v>
      </c>
    </row>
    <row r="26" spans="1:14" ht="30" customHeight="1">
      <c r="A26" s="60"/>
      <c r="B26" s="132" t="s">
        <v>80</v>
      </c>
      <c r="C26" s="133"/>
      <c r="D26" s="58" t="s">
        <v>70</v>
      </c>
      <c r="E26" s="57" t="s">
        <v>77</v>
      </c>
      <c r="F26" s="61">
        <v>12.75</v>
      </c>
      <c r="G26" s="61"/>
      <c r="H26" s="61">
        <f>SUM(F26:G26)</f>
        <v>12.75</v>
      </c>
      <c r="I26" s="194">
        <v>11</v>
      </c>
      <c r="J26" s="77"/>
      <c r="K26" s="194">
        <f>SUM(I26:J26)</f>
        <v>11</v>
      </c>
      <c r="L26" s="195">
        <f t="shared" si="1"/>
        <v>-1.75</v>
      </c>
      <c r="M26" s="195"/>
      <c r="N26" s="78">
        <f t="shared" si="2"/>
        <v>-1.75</v>
      </c>
    </row>
    <row r="27" spans="1:14" ht="30.75" customHeight="1">
      <c r="A27" s="60"/>
      <c r="B27" s="132" t="s">
        <v>81</v>
      </c>
      <c r="C27" s="134"/>
      <c r="D27" s="58" t="s">
        <v>70</v>
      </c>
      <c r="E27" s="58" t="s">
        <v>77</v>
      </c>
      <c r="F27" s="18">
        <f>SUM(F23:F26)</f>
        <v>26.25</v>
      </c>
      <c r="G27" s="222"/>
      <c r="H27" s="18">
        <f>SUM(H23:H26)</f>
        <v>26.25</v>
      </c>
      <c r="I27" s="18">
        <f>SUM(I23:I26)</f>
        <v>24.47</v>
      </c>
      <c r="J27" s="79"/>
      <c r="K27" s="18">
        <f>SUM(K23:K26)</f>
        <v>24.47</v>
      </c>
      <c r="L27" s="18">
        <f>SUM(L23:L26)</f>
        <v>-1.7800000000000002</v>
      </c>
      <c r="M27" s="194"/>
      <c r="N27" s="18">
        <f>SUM(N23:N26)</f>
        <v>-1.7800000000000002</v>
      </c>
    </row>
    <row r="28" spans="1:14">
      <c r="A28" s="14"/>
      <c r="B28" s="230" t="s">
        <v>82</v>
      </c>
      <c r="C28" s="231"/>
      <c r="D28" s="232"/>
      <c r="E28" s="232"/>
      <c r="F28" s="232"/>
      <c r="G28" s="232"/>
      <c r="H28" s="232"/>
      <c r="I28" s="65"/>
      <c r="J28" s="65"/>
      <c r="K28" s="65"/>
      <c r="L28" s="61"/>
      <c r="M28" s="61"/>
      <c r="N28" s="25"/>
    </row>
    <row r="29" spans="1:14" ht="77.25" customHeight="1">
      <c r="A29" s="60"/>
      <c r="B29" s="130" t="s">
        <v>173</v>
      </c>
      <c r="C29" s="131"/>
      <c r="D29" s="58" t="s">
        <v>85</v>
      </c>
      <c r="E29" s="57" t="s">
        <v>174</v>
      </c>
      <c r="F29" s="61">
        <v>121</v>
      </c>
      <c r="G29" s="57"/>
      <c r="H29" s="68">
        <f>SUM(F29:G29)</f>
        <v>121</v>
      </c>
      <c r="I29" s="59">
        <v>121</v>
      </c>
      <c r="J29" s="25"/>
      <c r="K29" s="80">
        <f>SUM(I29:J29)</f>
        <v>121</v>
      </c>
      <c r="L29" s="61">
        <f t="shared" ref="L29" si="7">I29-F29</f>
        <v>0</v>
      </c>
      <c r="M29" s="61"/>
      <c r="N29" s="25">
        <f t="shared" ref="N29" si="8">SUM(L29:M29)</f>
        <v>0</v>
      </c>
    </row>
    <row r="30" spans="1:14" ht="15.75" customHeight="1">
      <c r="A30" s="14"/>
      <c r="B30" s="130" t="s">
        <v>120</v>
      </c>
      <c r="C30" s="131"/>
      <c r="D30" s="58"/>
      <c r="E30" s="57"/>
      <c r="F30" s="61"/>
      <c r="G30" s="57"/>
      <c r="H30" s="68"/>
      <c r="I30" s="70"/>
      <c r="J30" s="65"/>
      <c r="K30" s="69"/>
      <c r="L30" s="61"/>
      <c r="M30" s="61"/>
      <c r="N30" s="25"/>
    </row>
    <row r="31" spans="1:14" ht="66" customHeight="1">
      <c r="A31" s="60"/>
      <c r="B31" s="132" t="s">
        <v>175</v>
      </c>
      <c r="C31" s="134"/>
      <c r="D31" s="58" t="s">
        <v>176</v>
      </c>
      <c r="E31" s="228" t="s">
        <v>177</v>
      </c>
      <c r="F31" s="194">
        <v>16.899999999999999</v>
      </c>
      <c r="G31" s="184"/>
      <c r="H31" s="194">
        <f>SUM(F31:G31)</f>
        <v>16.899999999999999</v>
      </c>
      <c r="I31" s="194">
        <v>18.899999999999999</v>
      </c>
      <c r="J31" s="67"/>
      <c r="K31" s="194">
        <f>SUM(I31:J31)</f>
        <v>18.899999999999999</v>
      </c>
      <c r="L31" s="61">
        <f t="shared" ref="L31" si="9">I31-F31</f>
        <v>2</v>
      </c>
      <c r="M31" s="61"/>
      <c r="N31" s="25">
        <f t="shared" ref="N31" si="10">SUM(L31:M31)</f>
        <v>2</v>
      </c>
    </row>
    <row r="32" spans="1:14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5.75">
      <c r="B35" s="136" t="s">
        <v>243</v>
      </c>
      <c r="C35" s="136"/>
      <c r="D35" s="136"/>
      <c r="E35" s="2"/>
      <c r="F35" s="2"/>
      <c r="G35" s="2"/>
      <c r="H35" s="4"/>
      <c r="I35" s="137" t="s">
        <v>45</v>
      </c>
      <c r="J35" s="137"/>
      <c r="K35" s="2"/>
      <c r="L35" s="2"/>
      <c r="M35" s="2"/>
    </row>
    <row r="36" spans="2:13" ht="15.75">
      <c r="B36" s="7" t="s">
        <v>43</v>
      </c>
      <c r="C36" s="7"/>
      <c r="D36" s="2"/>
      <c r="E36" s="2"/>
      <c r="F36" s="2"/>
      <c r="G36" s="2"/>
      <c r="H36" s="2" t="s">
        <v>44</v>
      </c>
      <c r="I36" s="2"/>
      <c r="J36" s="2"/>
      <c r="K36" s="2"/>
      <c r="L36" s="2"/>
      <c r="M36" s="2"/>
    </row>
    <row r="37" spans="2:13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mergeCells count="24">
    <mergeCell ref="B30:C30"/>
    <mergeCell ref="B31:C31"/>
    <mergeCell ref="B35:D35"/>
    <mergeCell ref="I35:J35"/>
    <mergeCell ref="B24:C24"/>
    <mergeCell ref="B25:C25"/>
    <mergeCell ref="B26:C26"/>
    <mergeCell ref="B27:C27"/>
    <mergeCell ref="B29:C29"/>
    <mergeCell ref="I18:K18"/>
    <mergeCell ref="L18:N18"/>
    <mergeCell ref="B20:H20"/>
    <mergeCell ref="B21:C21"/>
    <mergeCell ref="B22:C22"/>
    <mergeCell ref="B23:C23"/>
    <mergeCell ref="D6:J6"/>
    <mergeCell ref="C9:J9"/>
    <mergeCell ref="B10:K10"/>
    <mergeCell ref="C14:G14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42"/>
  <sheetViews>
    <sheetView workbookViewId="0">
      <selection activeCell="B10" sqref="B10:K10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7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1011200</v>
      </c>
      <c r="C14" s="216" t="s">
        <v>36</v>
      </c>
      <c r="D14" s="216"/>
      <c r="E14" s="216"/>
      <c r="F14" s="216"/>
      <c r="G14" s="216"/>
      <c r="H14" s="74"/>
      <c r="I14" s="74"/>
      <c r="J14" s="74"/>
      <c r="K14" s="11"/>
      <c r="L14" s="11"/>
      <c r="M14" s="11"/>
    </row>
    <row r="15" spans="2:13" ht="15.75">
      <c r="B15" s="276" t="s">
        <v>56</v>
      </c>
      <c r="C15" s="276"/>
      <c r="D15" s="276"/>
      <c r="E15" s="276"/>
      <c r="F15" s="276"/>
      <c r="G15" s="1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276"/>
      <c r="E16" s="276"/>
      <c r="F16" s="276"/>
      <c r="G16" s="1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39.75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4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15.75" customHeight="1">
      <c r="A20" s="60">
        <v>1</v>
      </c>
      <c r="B20" s="217" t="s">
        <v>163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4" ht="15.75" customHeight="1">
      <c r="A21" s="218"/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29.25" customHeight="1">
      <c r="A22" s="60"/>
      <c r="B22" s="132" t="s">
        <v>164</v>
      </c>
      <c r="C22" s="134"/>
      <c r="D22" s="58" t="s">
        <v>70</v>
      </c>
      <c r="E22" s="57" t="s">
        <v>146</v>
      </c>
      <c r="F22" s="59">
        <v>1</v>
      </c>
      <c r="G22" s="57"/>
      <c r="H22" s="59">
        <f>SUM(F22:G22)</f>
        <v>1</v>
      </c>
      <c r="I22" s="59">
        <v>1</v>
      </c>
      <c r="J22" s="65"/>
      <c r="K22" s="61">
        <f t="shared" ref="K22:K25" si="0">SUM(I22:J22)</f>
        <v>1</v>
      </c>
      <c r="L22" s="61">
        <f t="shared" ref="L22:L27" si="1">I22-F22</f>
        <v>0</v>
      </c>
      <c r="M22" s="61"/>
      <c r="N22" s="25">
        <f t="shared" ref="N22:N27" si="2">SUM(L22:M22)</f>
        <v>0</v>
      </c>
    </row>
    <row r="23" spans="1:14" ht="30.75" customHeight="1">
      <c r="A23" s="60"/>
      <c r="B23" s="132" t="s">
        <v>76</v>
      </c>
      <c r="C23" s="134"/>
      <c r="D23" s="58" t="s">
        <v>70</v>
      </c>
      <c r="E23" s="57" t="s">
        <v>77</v>
      </c>
      <c r="F23" s="59"/>
      <c r="G23" s="57"/>
      <c r="H23" s="59"/>
      <c r="I23" s="59"/>
      <c r="J23" s="25"/>
      <c r="K23" s="61"/>
      <c r="L23" s="61"/>
      <c r="M23" s="61"/>
      <c r="N23" s="25"/>
    </row>
    <row r="24" spans="1:14" ht="46.5" customHeight="1">
      <c r="A24" s="60"/>
      <c r="B24" s="132" t="s">
        <v>78</v>
      </c>
      <c r="C24" s="134"/>
      <c r="D24" s="58" t="s">
        <v>70</v>
      </c>
      <c r="E24" s="57" t="s">
        <v>77</v>
      </c>
      <c r="F24" s="59"/>
      <c r="G24" s="57"/>
      <c r="H24" s="59"/>
      <c r="I24" s="75"/>
      <c r="J24" s="25"/>
      <c r="K24" s="194"/>
      <c r="L24" s="194"/>
      <c r="M24" s="194"/>
      <c r="N24" s="77"/>
    </row>
    <row r="25" spans="1:14" ht="30" customHeight="1">
      <c r="A25" s="60"/>
      <c r="B25" s="132" t="s">
        <v>79</v>
      </c>
      <c r="C25" s="134"/>
      <c r="D25" s="58" t="s">
        <v>70</v>
      </c>
      <c r="E25" s="57" t="s">
        <v>77</v>
      </c>
      <c r="F25" s="59">
        <v>8</v>
      </c>
      <c r="G25" s="57"/>
      <c r="H25" s="59">
        <f>SUM(F25:G25)</f>
        <v>8</v>
      </c>
      <c r="I25" s="75">
        <v>7.5</v>
      </c>
      <c r="J25" s="25"/>
      <c r="K25" s="61">
        <f t="shared" si="0"/>
        <v>7.5</v>
      </c>
      <c r="L25" s="194">
        <f t="shared" si="1"/>
        <v>-0.5</v>
      </c>
      <c r="M25" s="194"/>
      <c r="N25" s="77">
        <f t="shared" si="2"/>
        <v>-0.5</v>
      </c>
    </row>
    <row r="26" spans="1:14" ht="30" customHeight="1">
      <c r="A26" s="60"/>
      <c r="B26" s="132" t="s">
        <v>80</v>
      </c>
      <c r="C26" s="134"/>
      <c r="D26" s="58" t="s">
        <v>70</v>
      </c>
      <c r="E26" s="57" t="s">
        <v>77</v>
      </c>
      <c r="F26" s="61">
        <v>4.75</v>
      </c>
      <c r="G26" s="57"/>
      <c r="H26" s="61">
        <f>SUM(F26:G26)</f>
        <v>4.75</v>
      </c>
      <c r="I26" s="61">
        <v>4.75</v>
      </c>
      <c r="J26" s="25"/>
      <c r="K26" s="61">
        <f>SUM(I26:J26)</f>
        <v>4.75</v>
      </c>
      <c r="L26" s="194">
        <f t="shared" ref="L26" si="3">I26-F26</f>
        <v>0</v>
      </c>
      <c r="M26" s="194"/>
      <c r="N26" s="77">
        <f t="shared" ref="N26" si="4">SUM(L26:M26)</f>
        <v>0</v>
      </c>
    </row>
    <row r="27" spans="1:14" ht="30.75" customHeight="1">
      <c r="A27" s="60"/>
      <c r="B27" s="132" t="s">
        <v>81</v>
      </c>
      <c r="C27" s="134"/>
      <c r="D27" s="58" t="s">
        <v>70</v>
      </c>
      <c r="E27" s="57" t="s">
        <v>77</v>
      </c>
      <c r="F27" s="195">
        <f>SUM(F23:F26)</f>
        <v>12.75</v>
      </c>
      <c r="G27" s="233"/>
      <c r="H27" s="195">
        <f>SUM(H23:H26)</f>
        <v>12.75</v>
      </c>
      <c r="I27" s="195">
        <f>SUM(I23:I26)</f>
        <v>12.25</v>
      </c>
      <c r="J27" s="79"/>
      <c r="K27" s="78">
        <f>SUM(I27:J27)</f>
        <v>12.25</v>
      </c>
      <c r="L27" s="194">
        <f t="shared" si="1"/>
        <v>-0.5</v>
      </c>
      <c r="M27" s="194"/>
      <c r="N27" s="77">
        <f t="shared" si="2"/>
        <v>-0.5</v>
      </c>
    </row>
    <row r="28" spans="1:14">
      <c r="A28" s="14"/>
      <c r="B28" s="230" t="s">
        <v>82</v>
      </c>
      <c r="C28" s="231"/>
      <c r="D28" s="232"/>
      <c r="E28" s="232"/>
      <c r="F28" s="232"/>
      <c r="G28" s="232"/>
      <c r="H28" s="232"/>
      <c r="I28" s="65"/>
      <c r="J28" s="65"/>
      <c r="K28" s="65"/>
      <c r="L28" s="61"/>
      <c r="M28" s="61"/>
      <c r="N28" s="25"/>
    </row>
    <row r="29" spans="1:14" ht="46.5" customHeight="1">
      <c r="A29" s="60"/>
      <c r="B29" s="130" t="s">
        <v>165</v>
      </c>
      <c r="C29" s="131"/>
      <c r="D29" s="58" t="s">
        <v>70</v>
      </c>
      <c r="E29" s="57" t="s">
        <v>146</v>
      </c>
      <c r="F29" s="61">
        <v>31</v>
      </c>
      <c r="G29" s="57"/>
      <c r="H29" s="68">
        <f>SUM(F29:G29)</f>
        <v>31</v>
      </c>
      <c r="I29" s="59">
        <v>31</v>
      </c>
      <c r="J29" s="25"/>
      <c r="K29" s="80">
        <f>SUM(I29:J29)</f>
        <v>31</v>
      </c>
      <c r="L29" s="61">
        <f t="shared" ref="L29:L30" si="5">I29-F29</f>
        <v>0</v>
      </c>
      <c r="M29" s="61"/>
      <c r="N29" s="25">
        <f t="shared" ref="N29:N30" si="6">SUM(L29:M29)</f>
        <v>0</v>
      </c>
    </row>
    <row r="30" spans="1:14" ht="32.25" customHeight="1">
      <c r="A30" s="60"/>
      <c r="B30" s="130" t="s">
        <v>166</v>
      </c>
      <c r="C30" s="131"/>
      <c r="D30" s="58" t="s">
        <v>70</v>
      </c>
      <c r="E30" s="57" t="s">
        <v>141</v>
      </c>
      <c r="F30" s="61">
        <v>730</v>
      </c>
      <c r="G30" s="57"/>
      <c r="H30" s="68">
        <f>SUM(F30:G30)</f>
        <v>730</v>
      </c>
      <c r="I30" s="59">
        <v>730</v>
      </c>
      <c r="J30" s="25"/>
      <c r="K30" s="80">
        <f>SUM(I30:J30)</f>
        <v>730</v>
      </c>
      <c r="L30" s="61">
        <f t="shared" si="5"/>
        <v>0</v>
      </c>
      <c r="M30" s="61"/>
      <c r="N30" s="25">
        <f t="shared" si="6"/>
        <v>0</v>
      </c>
    </row>
    <row r="31" spans="1:14" ht="15.75" customHeight="1">
      <c r="A31" s="14"/>
      <c r="B31" s="130" t="s">
        <v>120</v>
      </c>
      <c r="C31" s="131"/>
      <c r="D31" s="58"/>
      <c r="E31" s="57"/>
      <c r="F31" s="61"/>
      <c r="G31" s="57"/>
      <c r="H31" s="68"/>
      <c r="I31" s="70"/>
      <c r="J31" s="65"/>
      <c r="K31" s="69"/>
      <c r="L31" s="61"/>
      <c r="M31" s="61"/>
      <c r="N31" s="25"/>
    </row>
    <row r="32" spans="1:14" ht="53.25" customHeight="1">
      <c r="A32" s="60"/>
      <c r="B32" s="87" t="s">
        <v>167</v>
      </c>
      <c r="C32" s="88"/>
      <c r="D32" s="58" t="s">
        <v>70</v>
      </c>
      <c r="E32" s="228" t="s">
        <v>168</v>
      </c>
      <c r="F32" s="194">
        <v>3</v>
      </c>
      <c r="G32" s="184"/>
      <c r="H32" s="194">
        <f>SUM(F32:G32)</f>
        <v>3</v>
      </c>
      <c r="I32" s="194">
        <v>3</v>
      </c>
      <c r="J32" s="67"/>
      <c r="K32" s="194">
        <f>SUM(I32:J32)</f>
        <v>3</v>
      </c>
      <c r="L32" s="61">
        <f t="shared" ref="L32:L33" si="7">I32-F32</f>
        <v>0</v>
      </c>
      <c r="M32" s="61"/>
      <c r="N32" s="25">
        <f t="shared" ref="N32:N33" si="8">SUM(L32:M32)</f>
        <v>0</v>
      </c>
    </row>
    <row r="33" spans="1:14" ht="53.25" customHeight="1">
      <c r="A33" s="14"/>
      <c r="B33" s="132" t="s">
        <v>169</v>
      </c>
      <c r="C33" s="134"/>
      <c r="D33" s="58" t="s">
        <v>70</v>
      </c>
      <c r="E33" s="184" t="s">
        <v>170</v>
      </c>
      <c r="F33" s="61">
        <v>91</v>
      </c>
      <c r="G33" s="61"/>
      <c r="H33" s="61">
        <f>SUM(F33:G33)</f>
        <v>91</v>
      </c>
      <c r="I33" s="61">
        <v>91</v>
      </c>
      <c r="J33" s="58"/>
      <c r="K33" s="61">
        <f>SUM(I33:J33)</f>
        <v>91</v>
      </c>
      <c r="L33" s="61">
        <f t="shared" si="7"/>
        <v>0</v>
      </c>
      <c r="M33" s="61"/>
      <c r="N33" s="61">
        <f t="shared" si="8"/>
        <v>0</v>
      </c>
    </row>
    <row r="34" spans="1:14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4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4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4" ht="15.75">
      <c r="B37" s="136" t="s">
        <v>243</v>
      </c>
      <c r="C37" s="136"/>
      <c r="D37" s="136"/>
      <c r="E37" s="2"/>
      <c r="F37" s="2"/>
      <c r="G37" s="2"/>
      <c r="H37" s="4"/>
      <c r="I37" s="137" t="s">
        <v>45</v>
      </c>
      <c r="J37" s="137"/>
      <c r="K37" s="2"/>
      <c r="L37" s="2"/>
      <c r="M37" s="2"/>
    </row>
    <row r="38" spans="1:14" ht="15.75">
      <c r="B38" s="7" t="s">
        <v>43</v>
      </c>
      <c r="C38" s="7"/>
      <c r="D38" s="2"/>
      <c r="E38" s="2"/>
      <c r="F38" s="2"/>
      <c r="G38" s="2"/>
      <c r="H38" s="2" t="s">
        <v>44</v>
      </c>
      <c r="I38" s="2"/>
      <c r="J38" s="2"/>
      <c r="K38" s="2"/>
      <c r="L38" s="2"/>
      <c r="M38" s="2"/>
    </row>
    <row r="39" spans="1:14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4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4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26">
    <mergeCell ref="B37:D37"/>
    <mergeCell ref="I37:J37"/>
    <mergeCell ref="B31:C31"/>
    <mergeCell ref="B32:C32"/>
    <mergeCell ref="B33:C33"/>
    <mergeCell ref="B24:C24"/>
    <mergeCell ref="B25:C25"/>
    <mergeCell ref="B26:C26"/>
    <mergeCell ref="B27:C27"/>
    <mergeCell ref="B29:C29"/>
    <mergeCell ref="B30:C30"/>
    <mergeCell ref="I18:K18"/>
    <mergeCell ref="L18:N18"/>
    <mergeCell ref="B20:H20"/>
    <mergeCell ref="B21:C21"/>
    <mergeCell ref="B22:C22"/>
    <mergeCell ref="B23:C23"/>
    <mergeCell ref="D6:J6"/>
    <mergeCell ref="C9:J9"/>
    <mergeCell ref="B10:K10"/>
    <mergeCell ref="C14:G14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topLeftCell="A2" workbookViewId="0">
      <selection activeCell="M11" sqref="M11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7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1011190</v>
      </c>
      <c r="C14" s="216" t="s">
        <v>35</v>
      </c>
      <c r="D14" s="216"/>
      <c r="E14" s="216"/>
      <c r="F14" s="216"/>
      <c r="G14" s="216"/>
      <c r="H14" s="74"/>
      <c r="I14" s="74"/>
      <c r="J14" s="74"/>
      <c r="K14" s="11"/>
      <c r="L14" s="11"/>
      <c r="M14" s="11"/>
    </row>
    <row r="15" spans="2:13" ht="15.75">
      <c r="B15" s="276" t="s">
        <v>56</v>
      </c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40.5" customHeight="1">
      <c r="A18" s="152" t="s">
        <v>59</v>
      </c>
      <c r="B18" s="154" t="s">
        <v>60</v>
      </c>
      <c r="C18" s="155"/>
      <c r="D18" s="158" t="s">
        <v>61</v>
      </c>
      <c r="E18" s="158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7" t="s">
        <v>66</v>
      </c>
      <c r="M18" s="148"/>
      <c r="N18" s="149"/>
    </row>
    <row r="19" spans="1:14" ht="26.25" customHeight="1">
      <c r="A19" s="153"/>
      <c r="B19" s="156"/>
      <c r="C19" s="157"/>
      <c r="D19" s="159"/>
      <c r="E19" s="159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31.5" customHeight="1">
      <c r="A20" s="60">
        <v>1</v>
      </c>
      <c r="B20" s="217" t="s">
        <v>152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4" ht="15.75" customHeight="1">
      <c r="A21" s="218"/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15.75" customHeight="1">
      <c r="A22" s="60"/>
      <c r="B22" s="223" t="s">
        <v>153</v>
      </c>
      <c r="C22" s="224"/>
      <c r="D22" s="58" t="s">
        <v>70</v>
      </c>
      <c r="E22" s="57" t="s">
        <v>146</v>
      </c>
      <c r="F22" s="59">
        <v>1</v>
      </c>
      <c r="G22" s="57"/>
      <c r="H22" s="59">
        <f>SUM(F22:G22)</f>
        <v>1</v>
      </c>
      <c r="I22" s="59">
        <v>1</v>
      </c>
      <c r="J22" s="65"/>
      <c r="K22" s="61">
        <f t="shared" ref="K22:K25" si="0">SUM(I22:J22)</f>
        <v>1</v>
      </c>
      <c r="L22" s="61">
        <f t="shared" ref="L22:L27" si="1">I22-F22</f>
        <v>0</v>
      </c>
      <c r="M22" s="61"/>
      <c r="N22" s="25">
        <f t="shared" ref="N22:N27" si="2">SUM(L22:M22)</f>
        <v>0</v>
      </c>
    </row>
    <row r="23" spans="1:14" ht="30.75" customHeight="1">
      <c r="A23" s="60"/>
      <c r="B23" s="132" t="s">
        <v>76</v>
      </c>
      <c r="C23" s="134"/>
      <c r="D23" s="58" t="s">
        <v>70</v>
      </c>
      <c r="E23" s="57" t="s">
        <v>77</v>
      </c>
      <c r="F23" s="59"/>
      <c r="G23" s="57"/>
      <c r="H23" s="59"/>
      <c r="I23" s="59"/>
      <c r="J23" s="25"/>
      <c r="K23" s="61"/>
      <c r="L23" s="61"/>
      <c r="M23" s="61"/>
      <c r="N23" s="25"/>
    </row>
    <row r="24" spans="1:14" ht="46.5" customHeight="1">
      <c r="A24" s="60"/>
      <c r="B24" s="132" t="s">
        <v>78</v>
      </c>
      <c r="C24" s="134"/>
      <c r="D24" s="58" t="s">
        <v>70</v>
      </c>
      <c r="E24" s="57" t="s">
        <v>77</v>
      </c>
      <c r="F24" s="59"/>
      <c r="G24" s="57"/>
      <c r="H24" s="59"/>
      <c r="I24" s="75"/>
      <c r="J24" s="25"/>
      <c r="K24" s="194"/>
      <c r="L24" s="194"/>
      <c r="M24" s="194"/>
      <c r="N24" s="77"/>
    </row>
    <row r="25" spans="1:14" ht="30" customHeight="1">
      <c r="A25" s="60"/>
      <c r="B25" s="132" t="s">
        <v>79</v>
      </c>
      <c r="C25" s="134"/>
      <c r="D25" s="58" t="s">
        <v>70</v>
      </c>
      <c r="E25" s="57" t="s">
        <v>77</v>
      </c>
      <c r="F25" s="59">
        <v>17</v>
      </c>
      <c r="G25" s="57"/>
      <c r="H25" s="59">
        <f>SUM(F25:G25)</f>
        <v>17</v>
      </c>
      <c r="I25" s="59">
        <v>16.5</v>
      </c>
      <c r="J25" s="25"/>
      <c r="K25" s="61">
        <f t="shared" si="0"/>
        <v>16.5</v>
      </c>
      <c r="L25" s="194">
        <f t="shared" si="1"/>
        <v>-0.5</v>
      </c>
      <c r="M25" s="194"/>
      <c r="N25" s="77">
        <f t="shared" si="2"/>
        <v>-0.5</v>
      </c>
    </row>
    <row r="26" spans="1:14" ht="30" customHeight="1">
      <c r="A26" s="60"/>
      <c r="B26" s="132" t="s">
        <v>80</v>
      </c>
      <c r="C26" s="134"/>
      <c r="D26" s="58" t="s">
        <v>70</v>
      </c>
      <c r="E26" s="57" t="s">
        <v>77</v>
      </c>
      <c r="F26" s="61"/>
      <c r="G26" s="57"/>
      <c r="H26" s="61"/>
      <c r="I26" s="61"/>
      <c r="J26" s="25"/>
      <c r="K26" s="61"/>
      <c r="L26" s="194"/>
      <c r="M26" s="194"/>
      <c r="N26" s="77"/>
    </row>
    <row r="27" spans="1:14" ht="30.75" customHeight="1">
      <c r="A27" s="60"/>
      <c r="B27" s="132" t="s">
        <v>81</v>
      </c>
      <c r="C27" s="134"/>
      <c r="D27" s="58" t="s">
        <v>70</v>
      </c>
      <c r="E27" s="57" t="s">
        <v>77</v>
      </c>
      <c r="F27" s="68">
        <f>SUM(F23:F26)</f>
        <v>17</v>
      </c>
      <c r="G27" s="57"/>
      <c r="H27" s="68">
        <f>SUM(H23:H26)</f>
        <v>17</v>
      </c>
      <c r="I27" s="194">
        <f>SUM(I23:I26)</f>
        <v>16.5</v>
      </c>
      <c r="J27" s="65"/>
      <c r="K27" s="77">
        <f>SUM(I27:J27)</f>
        <v>16.5</v>
      </c>
      <c r="L27" s="194">
        <f t="shared" si="1"/>
        <v>-0.5</v>
      </c>
      <c r="M27" s="194"/>
      <c r="N27" s="77">
        <f t="shared" si="2"/>
        <v>-0.5</v>
      </c>
    </row>
    <row r="28" spans="1:14">
      <c r="A28" s="14"/>
      <c r="B28" s="230" t="s">
        <v>82</v>
      </c>
      <c r="C28" s="231"/>
      <c r="D28" s="232"/>
      <c r="E28" s="232"/>
      <c r="F28" s="232"/>
      <c r="G28" s="232"/>
      <c r="H28" s="232"/>
      <c r="I28" s="65"/>
      <c r="J28" s="65"/>
      <c r="K28" s="65"/>
      <c r="L28" s="61"/>
      <c r="M28" s="61"/>
      <c r="N28" s="25"/>
    </row>
    <row r="29" spans="1:14" ht="30" customHeight="1">
      <c r="A29" s="60"/>
      <c r="B29" s="130" t="s">
        <v>154</v>
      </c>
      <c r="C29" s="131"/>
      <c r="D29" s="58" t="s">
        <v>70</v>
      </c>
      <c r="E29" s="57" t="s">
        <v>146</v>
      </c>
      <c r="F29" s="61">
        <v>31</v>
      </c>
      <c r="G29" s="57"/>
      <c r="H29" s="68">
        <f>SUM(F29:G29)</f>
        <v>31</v>
      </c>
      <c r="I29" s="59">
        <v>31</v>
      </c>
      <c r="J29" s="25"/>
      <c r="K29" s="80">
        <f>SUM(I29:J29)</f>
        <v>31</v>
      </c>
      <c r="L29" s="61">
        <f t="shared" ref="L29" si="3">I29-F29</f>
        <v>0</v>
      </c>
      <c r="M29" s="61"/>
      <c r="N29" s="25">
        <f t="shared" ref="N29" si="4">SUM(L29:M29)</f>
        <v>0</v>
      </c>
    </row>
    <row r="30" spans="1:14" ht="15.75" customHeight="1">
      <c r="A30" s="60"/>
      <c r="B30" s="130" t="s">
        <v>155</v>
      </c>
      <c r="C30" s="131"/>
      <c r="D30" s="58" t="s">
        <v>70</v>
      </c>
      <c r="E30" s="57" t="s">
        <v>141</v>
      </c>
      <c r="F30" s="61">
        <v>1050</v>
      </c>
      <c r="G30" s="57"/>
      <c r="H30" s="68">
        <f>SUM(F30:G30)</f>
        <v>1050</v>
      </c>
      <c r="I30" s="59">
        <v>1100</v>
      </c>
      <c r="J30" s="25"/>
      <c r="K30" s="80">
        <f>SUM(I30:J30)</f>
        <v>1100</v>
      </c>
      <c r="L30" s="61">
        <f t="shared" ref="L30" si="5">I30-F30</f>
        <v>50</v>
      </c>
      <c r="M30" s="61"/>
      <c r="N30" s="25">
        <f t="shared" ref="N30" si="6">SUM(L30:M30)</f>
        <v>50</v>
      </c>
    </row>
    <row r="31" spans="1:14" ht="30" customHeight="1">
      <c r="A31" s="60"/>
      <c r="B31" s="130" t="s">
        <v>156</v>
      </c>
      <c r="C31" s="131"/>
      <c r="D31" s="58" t="s">
        <v>70</v>
      </c>
      <c r="E31" s="57" t="s">
        <v>141</v>
      </c>
      <c r="F31" s="61">
        <v>530</v>
      </c>
      <c r="G31" s="57"/>
      <c r="H31" s="68">
        <f>SUM(F31:G31)</f>
        <v>530</v>
      </c>
      <c r="I31" s="59">
        <v>530</v>
      </c>
      <c r="J31" s="25"/>
      <c r="K31" s="80">
        <f>SUM(I31:J31)</f>
        <v>530</v>
      </c>
      <c r="L31" s="61">
        <f t="shared" ref="L31:L32" si="7">I31-F31</f>
        <v>0</v>
      </c>
      <c r="M31" s="61"/>
      <c r="N31" s="25">
        <f t="shared" ref="N31" si="8">SUM(L31:M31)</f>
        <v>0</v>
      </c>
    </row>
    <row r="32" spans="1:14" ht="30.75" customHeight="1">
      <c r="A32" s="60"/>
      <c r="B32" s="130" t="s">
        <v>157</v>
      </c>
      <c r="C32" s="131"/>
      <c r="D32" s="58" t="s">
        <v>70</v>
      </c>
      <c r="E32" s="57" t="s">
        <v>141</v>
      </c>
      <c r="F32" s="61">
        <v>4080</v>
      </c>
      <c r="G32" s="57"/>
      <c r="H32" s="68">
        <f>SUM(F32:G32)</f>
        <v>4080</v>
      </c>
      <c r="I32" s="59">
        <v>6040</v>
      </c>
      <c r="J32" s="25"/>
      <c r="K32" s="80">
        <f>SUM(I32:J32)</f>
        <v>6040</v>
      </c>
      <c r="L32" s="61">
        <f t="shared" si="7"/>
        <v>1960</v>
      </c>
      <c r="M32" s="61"/>
      <c r="N32" s="25">
        <f>SUM(L32:M32)</f>
        <v>1960</v>
      </c>
    </row>
    <row r="33" spans="1:14" ht="15.75" customHeight="1">
      <c r="A33" s="14"/>
      <c r="B33" s="130" t="s">
        <v>120</v>
      </c>
      <c r="C33" s="131"/>
      <c r="D33" s="58"/>
      <c r="E33" s="57"/>
      <c r="F33" s="61"/>
      <c r="G33" s="57"/>
      <c r="H33" s="68"/>
      <c r="I33" s="70"/>
      <c r="J33" s="65"/>
      <c r="K33" s="69"/>
      <c r="L33" s="61"/>
      <c r="M33" s="61"/>
      <c r="N33" s="25"/>
    </row>
    <row r="34" spans="1:14" ht="53.25" customHeight="1">
      <c r="A34" s="60"/>
      <c r="B34" s="87" t="s">
        <v>158</v>
      </c>
      <c r="C34" s="88"/>
      <c r="D34" s="58" t="s">
        <v>70</v>
      </c>
      <c r="E34" s="228" t="s">
        <v>159</v>
      </c>
      <c r="F34" s="194">
        <v>2</v>
      </c>
      <c r="G34" s="184"/>
      <c r="H34" s="194">
        <f>SUM(F34:G34)</f>
        <v>2</v>
      </c>
      <c r="I34" s="194">
        <v>2</v>
      </c>
      <c r="J34" s="67"/>
      <c r="K34" s="194">
        <f>SUM(I34:J34)</f>
        <v>2</v>
      </c>
      <c r="L34" s="61">
        <f t="shared" ref="L34:L35" si="9">I34-F34</f>
        <v>0</v>
      </c>
      <c r="M34" s="61"/>
      <c r="N34" s="25">
        <f t="shared" ref="N34:N35" si="10">SUM(L34:M34)</f>
        <v>0</v>
      </c>
    </row>
    <row r="35" spans="1:14" ht="53.25" customHeight="1">
      <c r="A35" s="14"/>
      <c r="B35" s="132" t="s">
        <v>160</v>
      </c>
      <c r="C35" s="134"/>
      <c r="D35" s="58" t="s">
        <v>70</v>
      </c>
      <c r="E35" s="184" t="s">
        <v>161</v>
      </c>
      <c r="F35" s="61">
        <v>263</v>
      </c>
      <c r="G35" s="61"/>
      <c r="H35" s="61">
        <f>SUM(F35:G35)</f>
        <v>263</v>
      </c>
      <c r="I35" s="61">
        <v>275</v>
      </c>
      <c r="J35" s="58"/>
      <c r="K35" s="61">
        <f>SUM(I35:J35)</f>
        <v>275</v>
      </c>
      <c r="L35" s="61">
        <f t="shared" si="9"/>
        <v>12</v>
      </c>
      <c r="M35" s="61"/>
      <c r="N35" s="61">
        <f t="shared" si="10"/>
        <v>12</v>
      </c>
    </row>
    <row r="36" spans="1:14" ht="53.25" customHeight="1">
      <c r="A36" s="60"/>
      <c r="B36" s="135" t="s">
        <v>162</v>
      </c>
      <c r="C36" s="135"/>
      <c r="D36" s="58" t="s">
        <v>70</v>
      </c>
      <c r="E36" s="73" t="s">
        <v>151</v>
      </c>
      <c r="F36" s="61">
        <v>240</v>
      </c>
      <c r="G36" s="61"/>
      <c r="H36" s="61">
        <f>SUM(F36:G36)</f>
        <v>240</v>
      </c>
      <c r="I36" s="61">
        <v>366</v>
      </c>
      <c r="J36" s="18"/>
      <c r="K36" s="61">
        <f>SUM(I36:J36)</f>
        <v>366</v>
      </c>
      <c r="L36" s="61">
        <f t="shared" ref="L36" si="11">I36-F36</f>
        <v>126</v>
      </c>
      <c r="M36" s="61"/>
      <c r="N36" s="25">
        <f t="shared" ref="N36" si="12">SUM(L36:M36)</f>
        <v>126</v>
      </c>
    </row>
    <row r="37" spans="1:14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4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4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4" ht="15.75">
      <c r="B40" s="136" t="s">
        <v>243</v>
      </c>
      <c r="C40" s="136"/>
      <c r="D40" s="136"/>
      <c r="E40" s="2"/>
      <c r="F40" s="2"/>
      <c r="G40" s="2"/>
      <c r="H40" s="4"/>
      <c r="I40" s="137" t="s">
        <v>45</v>
      </c>
      <c r="J40" s="137"/>
      <c r="K40" s="2"/>
      <c r="L40" s="2"/>
      <c r="M40" s="2"/>
    </row>
    <row r="41" spans="1:14" ht="15.75">
      <c r="B41" s="7" t="s">
        <v>43</v>
      </c>
      <c r="C41" s="7"/>
      <c r="D41" s="2"/>
      <c r="E41" s="2"/>
      <c r="F41" s="2"/>
      <c r="G41" s="2"/>
      <c r="H41" s="2" t="s">
        <v>44</v>
      </c>
      <c r="I41" s="2"/>
      <c r="J41" s="2"/>
      <c r="K41" s="2"/>
      <c r="L41" s="2"/>
      <c r="M41" s="2"/>
    </row>
    <row r="42" spans="1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4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29">
    <mergeCell ref="I40:J40"/>
    <mergeCell ref="C14:G14"/>
    <mergeCell ref="B30:C30"/>
    <mergeCell ref="B31:C31"/>
    <mergeCell ref="B32:C32"/>
    <mergeCell ref="B29:C29"/>
    <mergeCell ref="B33:C33"/>
    <mergeCell ref="B34:C34"/>
    <mergeCell ref="B35:C35"/>
    <mergeCell ref="B36:C36"/>
    <mergeCell ref="B40:D40"/>
    <mergeCell ref="B23:C23"/>
    <mergeCell ref="B24:C24"/>
    <mergeCell ref="B25:C25"/>
    <mergeCell ref="B26:C26"/>
    <mergeCell ref="B27:C27"/>
    <mergeCell ref="B22:C22"/>
    <mergeCell ref="I18:K18"/>
    <mergeCell ref="L18:N18"/>
    <mergeCell ref="B20:H20"/>
    <mergeCell ref="B21:C21"/>
    <mergeCell ref="D6:J6"/>
    <mergeCell ref="C9:J9"/>
    <mergeCell ref="B10:K10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9"/>
  <sheetViews>
    <sheetView topLeftCell="A4" workbookViewId="0">
      <selection activeCell="B10" sqref="B10:K10"/>
    </sheetView>
  </sheetViews>
  <sheetFormatPr defaultRowHeight="15"/>
  <cols>
    <col min="1" max="1" width="4.125" customWidth="1"/>
    <col min="2" max="2" width="11.75" customWidth="1"/>
    <col min="3" max="3" width="20" customWidth="1"/>
    <col min="4" max="4" width="7.875" customWidth="1"/>
    <col min="5" max="5" width="14.75" customWidth="1"/>
    <col min="6" max="6" width="8.125" customWidth="1"/>
    <col min="7" max="7" width="8.375" customWidth="1"/>
    <col min="8" max="8" width="8.25" customWidth="1"/>
    <col min="9" max="9" width="7.875" customWidth="1"/>
    <col min="10" max="10" width="7.5" customWidth="1"/>
    <col min="11" max="11" width="7.375" customWidth="1"/>
    <col min="12" max="14" width="8.25" customWidth="1"/>
  </cols>
  <sheetData>
    <row r="1" spans="2:13" ht="15.75">
      <c r="F1" s="2"/>
      <c r="G1" s="2"/>
      <c r="H1" s="2"/>
      <c r="I1" s="2" t="s">
        <v>0</v>
      </c>
      <c r="J1" s="2"/>
      <c r="K1" s="2"/>
      <c r="L1" s="2"/>
      <c r="M1" s="2"/>
    </row>
    <row r="2" spans="2:13" ht="15.75">
      <c r="F2" s="2"/>
      <c r="G2" s="2"/>
      <c r="H2" s="2"/>
      <c r="I2" s="2" t="s">
        <v>1</v>
      </c>
      <c r="J2" s="2"/>
      <c r="K2" s="2"/>
      <c r="L2" s="2"/>
      <c r="M2" s="2"/>
    </row>
    <row r="3" spans="2:13" ht="15.75">
      <c r="F3" s="2"/>
      <c r="G3" s="2"/>
      <c r="H3" s="2"/>
      <c r="I3" s="2" t="s">
        <v>2</v>
      </c>
      <c r="J3" s="2"/>
      <c r="K3" s="2"/>
      <c r="L3" s="2"/>
      <c r="M3" s="2"/>
    </row>
    <row r="4" spans="2:13" ht="15.75">
      <c r="F4" s="2"/>
      <c r="G4" s="2"/>
      <c r="H4" s="2"/>
      <c r="I4" s="2" t="s">
        <v>3</v>
      </c>
      <c r="J4" s="2"/>
      <c r="K4" s="2"/>
      <c r="L4" s="2"/>
      <c r="M4" s="2"/>
    </row>
    <row r="5" spans="2:13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>
      <c r="B6" s="3" t="s">
        <v>53</v>
      </c>
      <c r="C6" s="3"/>
      <c r="D6" s="150" t="s">
        <v>5</v>
      </c>
      <c r="E6" s="150"/>
      <c r="F6" s="150"/>
      <c r="G6" s="150"/>
      <c r="H6" s="150"/>
      <c r="I6" s="150"/>
      <c r="J6" s="150"/>
      <c r="K6" s="2"/>
      <c r="L6" s="2"/>
      <c r="M6" s="2"/>
    </row>
    <row r="7" spans="2:13" ht="15.75">
      <c r="B7" s="3" t="s">
        <v>52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5.75">
      <c r="B8" s="3" t="s">
        <v>51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>
      <c r="B9" s="54" t="s">
        <v>57</v>
      </c>
      <c r="C9" s="216" t="s">
        <v>58</v>
      </c>
      <c r="D9" s="216"/>
      <c r="E9" s="216"/>
      <c r="F9" s="216"/>
      <c r="G9" s="216"/>
      <c r="H9" s="216"/>
      <c r="I9" s="216"/>
      <c r="J9" s="216"/>
      <c r="K9" s="54"/>
      <c r="L9" s="2"/>
      <c r="M9" s="2"/>
    </row>
    <row r="10" spans="2:13" ht="15.75">
      <c r="B10" s="277" t="s">
        <v>55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"/>
      <c r="M10" s="2"/>
    </row>
    <row r="11" spans="2:13" ht="15.75">
      <c r="B11" s="2" t="s">
        <v>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/>
      <c r="D12" s="2"/>
      <c r="E12" s="9" t="s">
        <v>14</v>
      </c>
      <c r="F12" s="54"/>
      <c r="H12" s="2"/>
      <c r="I12" s="2"/>
      <c r="J12" s="2"/>
      <c r="K12" s="2"/>
      <c r="L12" s="2"/>
      <c r="M12" s="2"/>
    </row>
    <row r="13" spans="2:13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8.75" customHeight="1">
      <c r="B14" s="55">
        <v>1011170</v>
      </c>
      <c r="C14" s="216" t="s">
        <v>34</v>
      </c>
      <c r="D14" s="216"/>
      <c r="E14" s="216"/>
      <c r="F14" s="216"/>
      <c r="G14" s="216"/>
      <c r="H14" s="216"/>
      <c r="I14" s="216"/>
      <c r="J14" s="216"/>
      <c r="K14" s="11"/>
      <c r="L14" s="11"/>
      <c r="M14" s="11"/>
    </row>
    <row r="15" spans="2:13" ht="15.75">
      <c r="B15" s="276" t="s">
        <v>247</v>
      </c>
      <c r="C15" s="276"/>
      <c r="D15" s="1"/>
      <c r="E15" s="1"/>
      <c r="F15" s="1"/>
      <c r="G15" s="1"/>
      <c r="H15" s="1"/>
      <c r="I15" s="1"/>
      <c r="J15" s="2"/>
      <c r="K15" s="2"/>
      <c r="L15" s="2"/>
      <c r="M15" s="2"/>
    </row>
    <row r="16" spans="2:13" ht="15.75">
      <c r="B16" s="276" t="s">
        <v>6</v>
      </c>
      <c r="C16" s="276"/>
      <c r="D16" s="1"/>
      <c r="E16" s="1"/>
      <c r="F16" s="1"/>
      <c r="G16" s="1"/>
      <c r="H16" s="1"/>
      <c r="I16" s="1"/>
      <c r="J16" s="2"/>
      <c r="K16" s="2"/>
      <c r="L16" s="2"/>
      <c r="M16" s="2"/>
    </row>
    <row r="17" spans="1:14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76"/>
      <c r="M17" s="2"/>
    </row>
    <row r="18" spans="1:14" ht="41.25" customHeight="1">
      <c r="A18" s="278" t="s">
        <v>59</v>
      </c>
      <c r="B18" s="154" t="s">
        <v>60</v>
      </c>
      <c r="C18" s="155"/>
      <c r="D18" s="192" t="s">
        <v>61</v>
      </c>
      <c r="E18" s="192" t="s">
        <v>62</v>
      </c>
      <c r="F18" s="147" t="s">
        <v>225</v>
      </c>
      <c r="G18" s="148"/>
      <c r="H18" s="149"/>
      <c r="I18" s="144" t="s">
        <v>65</v>
      </c>
      <c r="J18" s="145"/>
      <c r="K18" s="146"/>
      <c r="L18" s="144" t="s">
        <v>66</v>
      </c>
      <c r="M18" s="145"/>
      <c r="N18" s="146"/>
    </row>
    <row r="19" spans="1:14" ht="26.25" customHeight="1">
      <c r="A19" s="279"/>
      <c r="B19" s="156"/>
      <c r="C19" s="157"/>
      <c r="D19" s="193"/>
      <c r="E19" s="193"/>
      <c r="F19" s="57" t="s">
        <v>63</v>
      </c>
      <c r="G19" s="57" t="s">
        <v>64</v>
      </c>
      <c r="H19" s="57" t="s">
        <v>28</v>
      </c>
      <c r="I19" s="57" t="s">
        <v>63</v>
      </c>
      <c r="J19" s="57" t="s">
        <v>64</v>
      </c>
      <c r="K19" s="57" t="s">
        <v>28</v>
      </c>
      <c r="L19" s="57" t="s">
        <v>63</v>
      </c>
      <c r="M19" s="57" t="s">
        <v>64</v>
      </c>
      <c r="N19" s="57" t="s">
        <v>28</v>
      </c>
    </row>
    <row r="20" spans="1:14" ht="15.75" customHeight="1">
      <c r="A20" s="60">
        <v>1</v>
      </c>
      <c r="B20" s="217" t="s">
        <v>139</v>
      </c>
      <c r="C20" s="217"/>
      <c r="D20" s="217"/>
      <c r="E20" s="217"/>
      <c r="F20" s="217"/>
      <c r="G20" s="217"/>
      <c r="H20" s="217"/>
      <c r="I20" s="61"/>
      <c r="J20" s="62"/>
      <c r="K20" s="62"/>
      <c r="L20" s="62"/>
      <c r="M20" s="62"/>
      <c r="N20" s="14"/>
    </row>
    <row r="21" spans="1:14" ht="15.75" customHeight="1">
      <c r="A21" s="218"/>
      <c r="B21" s="132" t="s">
        <v>68</v>
      </c>
      <c r="C21" s="134"/>
      <c r="D21" s="61"/>
      <c r="E21" s="61"/>
      <c r="F21" s="61"/>
      <c r="G21" s="61"/>
      <c r="H21" s="61"/>
      <c r="I21" s="61"/>
      <c r="J21" s="62"/>
      <c r="K21" s="62"/>
      <c r="L21" s="62"/>
      <c r="M21" s="62"/>
      <c r="N21" s="14"/>
    </row>
    <row r="22" spans="1:14" ht="30.75" customHeight="1">
      <c r="A22" s="60"/>
      <c r="B22" s="132" t="s">
        <v>76</v>
      </c>
      <c r="C22" s="134"/>
      <c r="D22" s="18" t="s">
        <v>70</v>
      </c>
      <c r="E22" s="61" t="s">
        <v>77</v>
      </c>
      <c r="F22" s="61">
        <v>1</v>
      </c>
      <c r="G22" s="61"/>
      <c r="H22" s="59">
        <f t="shared" ref="H22:H24" si="0">SUM(F22:G22)</f>
        <v>1</v>
      </c>
      <c r="I22" s="61">
        <v>1</v>
      </c>
      <c r="J22" s="62"/>
      <c r="K22" s="61">
        <f t="shared" ref="K22:K33" si="1">SUM(I22:J22)</f>
        <v>1</v>
      </c>
      <c r="L22" s="61">
        <f t="shared" ref="L22:L33" si="2">I22-F22</f>
        <v>0</v>
      </c>
      <c r="M22" s="61"/>
      <c r="N22" s="25">
        <f t="shared" ref="N22:N33" si="3">SUM(L22:M22)</f>
        <v>0</v>
      </c>
    </row>
    <row r="23" spans="1:14" ht="15.75" customHeight="1">
      <c r="A23" s="14"/>
      <c r="B23" s="142" t="s">
        <v>82</v>
      </c>
      <c r="C23" s="143"/>
      <c r="D23" s="18"/>
      <c r="E23" s="61"/>
      <c r="F23" s="21"/>
      <c r="G23" s="15"/>
      <c r="H23" s="59"/>
      <c r="I23" s="15"/>
      <c r="J23" s="15"/>
      <c r="K23" s="61"/>
      <c r="L23" s="61"/>
      <c r="M23" s="61"/>
      <c r="N23" s="25"/>
    </row>
    <row r="24" spans="1:14" ht="30" customHeight="1">
      <c r="A24" s="60"/>
      <c r="B24" s="138" t="s">
        <v>140</v>
      </c>
      <c r="C24" s="139"/>
      <c r="D24" s="219" t="s">
        <v>85</v>
      </c>
      <c r="E24" s="57" t="s">
        <v>141</v>
      </c>
      <c r="F24" s="61">
        <v>90</v>
      </c>
      <c r="G24" s="61"/>
      <c r="H24" s="59">
        <f t="shared" si="0"/>
        <v>90</v>
      </c>
      <c r="I24" s="65">
        <v>160</v>
      </c>
      <c r="J24" s="15"/>
      <c r="K24" s="61">
        <f t="shared" si="1"/>
        <v>160</v>
      </c>
      <c r="L24" s="61">
        <f t="shared" si="2"/>
        <v>70</v>
      </c>
      <c r="M24" s="61"/>
      <c r="N24" s="25">
        <f t="shared" si="3"/>
        <v>70</v>
      </c>
    </row>
    <row r="25" spans="1:14" ht="15.75" customHeight="1">
      <c r="A25" s="14"/>
      <c r="B25" s="132" t="s">
        <v>120</v>
      </c>
      <c r="C25" s="134"/>
      <c r="D25" s="184"/>
      <c r="E25" s="184"/>
      <c r="F25" s="184"/>
      <c r="G25" s="184"/>
      <c r="H25" s="184"/>
      <c r="I25" s="21"/>
      <c r="J25" s="21"/>
      <c r="K25" s="61"/>
      <c r="L25" s="61"/>
      <c r="M25" s="61"/>
      <c r="N25" s="25"/>
    </row>
    <row r="26" spans="1:14" ht="39" customHeight="1">
      <c r="A26" s="60"/>
      <c r="B26" s="87" t="s">
        <v>142</v>
      </c>
      <c r="C26" s="88"/>
      <c r="D26" s="219" t="s">
        <v>123</v>
      </c>
      <c r="E26" s="57" t="s">
        <v>143</v>
      </c>
      <c r="F26" s="75">
        <f>78000/90</f>
        <v>866.66666666666663</v>
      </c>
      <c r="G26" s="57"/>
      <c r="H26" s="194">
        <f>SUM(F26:G26)</f>
        <v>866.66666666666663</v>
      </c>
      <c r="I26" s="75">
        <f>96343/160</f>
        <v>602.14374999999995</v>
      </c>
      <c r="J26" s="21"/>
      <c r="K26" s="194">
        <f>SUM(I26:J26)</f>
        <v>602.14374999999995</v>
      </c>
      <c r="L26" s="194">
        <v>-264.60000000000002</v>
      </c>
      <c r="M26" s="194"/>
      <c r="N26" s="77">
        <f t="shared" ref="N26" si="4">SUM(L26:M26)</f>
        <v>-264.60000000000002</v>
      </c>
    </row>
    <row r="27" spans="1:14" ht="15.75" customHeight="1">
      <c r="A27" s="60">
        <v>2</v>
      </c>
      <c r="B27" s="132" t="s">
        <v>144</v>
      </c>
      <c r="C27" s="133"/>
      <c r="D27" s="133"/>
      <c r="E27" s="133"/>
      <c r="F27" s="184"/>
      <c r="G27" s="184"/>
      <c r="H27" s="184"/>
      <c r="I27" s="21"/>
      <c r="J27" s="21"/>
      <c r="K27" s="61"/>
      <c r="L27" s="61"/>
      <c r="M27" s="61"/>
      <c r="N27" s="25"/>
    </row>
    <row r="28" spans="1:14" ht="15.75" customHeight="1">
      <c r="A28" s="14"/>
      <c r="B28" s="132" t="s">
        <v>68</v>
      </c>
      <c r="C28" s="134"/>
      <c r="D28" s="184"/>
      <c r="E28" s="184"/>
      <c r="F28" s="184"/>
      <c r="G28" s="184"/>
      <c r="H28" s="184"/>
      <c r="I28" s="21"/>
      <c r="J28" s="21"/>
      <c r="K28" s="61"/>
      <c r="L28" s="61"/>
      <c r="M28" s="61"/>
      <c r="N28" s="25"/>
    </row>
    <row r="29" spans="1:14" ht="15.75" customHeight="1">
      <c r="A29" s="60"/>
      <c r="B29" s="223" t="s">
        <v>145</v>
      </c>
      <c r="C29" s="224"/>
      <c r="D29" s="58" t="s">
        <v>70</v>
      </c>
      <c r="E29" s="57" t="s">
        <v>146</v>
      </c>
      <c r="F29" s="59">
        <v>1</v>
      </c>
      <c r="G29" s="57"/>
      <c r="H29" s="59">
        <f>SUM(F29:G29)</f>
        <v>1</v>
      </c>
      <c r="I29" s="59">
        <v>1</v>
      </c>
      <c r="J29" s="65"/>
      <c r="K29" s="61">
        <f t="shared" si="1"/>
        <v>1</v>
      </c>
      <c r="L29" s="61">
        <f t="shared" si="2"/>
        <v>0</v>
      </c>
      <c r="M29" s="61"/>
      <c r="N29" s="25">
        <f t="shared" si="3"/>
        <v>0</v>
      </c>
    </row>
    <row r="30" spans="1:14" ht="30.75" customHeight="1">
      <c r="A30" s="60"/>
      <c r="B30" s="132" t="s">
        <v>76</v>
      </c>
      <c r="C30" s="134"/>
      <c r="D30" s="58" t="s">
        <v>70</v>
      </c>
      <c r="E30" s="57" t="s">
        <v>77</v>
      </c>
      <c r="F30" s="59"/>
      <c r="G30" s="57"/>
      <c r="H30" s="59"/>
      <c r="I30" s="59"/>
      <c r="J30" s="25"/>
      <c r="K30" s="61">
        <f t="shared" si="1"/>
        <v>0</v>
      </c>
      <c r="L30" s="61">
        <f t="shared" si="2"/>
        <v>0</v>
      </c>
      <c r="M30" s="61"/>
      <c r="N30" s="25">
        <f t="shared" si="3"/>
        <v>0</v>
      </c>
    </row>
    <row r="31" spans="1:14" ht="46.5" customHeight="1">
      <c r="A31" s="60"/>
      <c r="B31" s="132" t="s">
        <v>78</v>
      </c>
      <c r="C31" s="134"/>
      <c r="D31" s="58" t="s">
        <v>70</v>
      </c>
      <c r="E31" s="57" t="s">
        <v>77</v>
      </c>
      <c r="F31" s="59">
        <v>15</v>
      </c>
      <c r="G31" s="57"/>
      <c r="H31" s="59">
        <f>SUM(F31:G31)</f>
        <v>15</v>
      </c>
      <c r="I31" s="75">
        <v>14.33</v>
      </c>
      <c r="J31" s="25"/>
      <c r="K31" s="194">
        <f t="shared" si="1"/>
        <v>14.33</v>
      </c>
      <c r="L31" s="194">
        <f t="shared" si="2"/>
        <v>-0.66999999999999993</v>
      </c>
      <c r="M31" s="194"/>
      <c r="N31" s="77">
        <f t="shared" si="3"/>
        <v>-0.66999999999999993</v>
      </c>
    </row>
    <row r="32" spans="1:14" ht="30" customHeight="1">
      <c r="A32" s="60"/>
      <c r="B32" s="132" t="s">
        <v>79</v>
      </c>
      <c r="C32" s="134"/>
      <c r="D32" s="58" t="s">
        <v>70</v>
      </c>
      <c r="E32" s="57" t="s">
        <v>77</v>
      </c>
      <c r="F32" s="59"/>
      <c r="G32" s="57"/>
      <c r="H32" s="59"/>
      <c r="I32" s="59"/>
      <c r="J32" s="25"/>
      <c r="K32" s="61">
        <f t="shared" si="1"/>
        <v>0</v>
      </c>
      <c r="L32" s="194">
        <f t="shared" si="2"/>
        <v>0</v>
      </c>
      <c r="M32" s="194"/>
      <c r="N32" s="77">
        <f t="shared" si="3"/>
        <v>0</v>
      </c>
    </row>
    <row r="33" spans="1:14" ht="30" customHeight="1">
      <c r="A33" s="60"/>
      <c r="B33" s="132" t="s">
        <v>80</v>
      </c>
      <c r="C33" s="134"/>
      <c r="D33" s="58" t="s">
        <v>70</v>
      </c>
      <c r="E33" s="57" t="s">
        <v>77</v>
      </c>
      <c r="F33" s="61">
        <v>2</v>
      </c>
      <c r="G33" s="57"/>
      <c r="H33" s="61">
        <f>SUM(F33:G33)</f>
        <v>2</v>
      </c>
      <c r="I33" s="61">
        <v>2</v>
      </c>
      <c r="J33" s="25"/>
      <c r="K33" s="61">
        <f t="shared" si="1"/>
        <v>2</v>
      </c>
      <c r="L33" s="194">
        <f t="shared" si="2"/>
        <v>0</v>
      </c>
      <c r="M33" s="194"/>
      <c r="N33" s="77">
        <f t="shared" si="3"/>
        <v>0</v>
      </c>
    </row>
    <row r="34" spans="1:14" ht="30.75" customHeight="1">
      <c r="A34" s="60"/>
      <c r="B34" s="132" t="s">
        <v>81</v>
      </c>
      <c r="C34" s="134"/>
      <c r="D34" s="58" t="s">
        <v>70</v>
      </c>
      <c r="E34" s="57" t="s">
        <v>77</v>
      </c>
      <c r="F34" s="68">
        <f>SUM(F30:F33)</f>
        <v>17</v>
      </c>
      <c r="G34" s="57"/>
      <c r="H34" s="68">
        <f>SUM(H30:H33)</f>
        <v>17</v>
      </c>
      <c r="I34" s="194">
        <f>SUM(I30:I33)</f>
        <v>16.329999999999998</v>
      </c>
      <c r="J34" s="65"/>
      <c r="K34" s="77">
        <f>SUM(I34:J34)</f>
        <v>16.329999999999998</v>
      </c>
      <c r="L34" s="194">
        <f t="shared" ref="L34" si="5">I34-F34</f>
        <v>-0.67000000000000171</v>
      </c>
      <c r="M34" s="194"/>
      <c r="N34" s="77">
        <f t="shared" ref="N34" si="6">SUM(L34:M34)</f>
        <v>-0.67000000000000171</v>
      </c>
    </row>
    <row r="35" spans="1:14">
      <c r="A35" s="14"/>
      <c r="B35" s="225" t="s">
        <v>82</v>
      </c>
      <c r="C35" s="226"/>
      <c r="D35" s="226"/>
      <c r="E35" s="226"/>
      <c r="F35" s="226"/>
      <c r="G35" s="226"/>
      <c r="H35" s="227"/>
      <c r="I35" s="65"/>
      <c r="J35" s="65"/>
      <c r="K35" s="65"/>
      <c r="L35" s="61"/>
      <c r="M35" s="61"/>
      <c r="N35" s="25"/>
    </row>
    <row r="36" spans="1:14" ht="60.75" customHeight="1">
      <c r="A36" s="60"/>
      <c r="B36" s="130" t="s">
        <v>147</v>
      </c>
      <c r="C36" s="131"/>
      <c r="D36" s="58" t="s">
        <v>70</v>
      </c>
      <c r="E36" s="57" t="s">
        <v>141</v>
      </c>
      <c r="F36" s="61">
        <v>587</v>
      </c>
      <c r="G36" s="57"/>
      <c r="H36" s="68">
        <f>SUM(F36:G36)</f>
        <v>587</v>
      </c>
      <c r="I36" s="59">
        <v>673</v>
      </c>
      <c r="J36" s="25"/>
      <c r="K36" s="80">
        <f>SUM(I36:J36)</f>
        <v>673</v>
      </c>
      <c r="L36" s="61">
        <f t="shared" ref="L36" si="7">I36-F36</f>
        <v>86</v>
      </c>
      <c r="M36" s="61"/>
      <c r="N36" s="25">
        <f t="shared" ref="N36" si="8">SUM(L36:M36)</f>
        <v>86</v>
      </c>
    </row>
    <row r="37" spans="1:14" ht="15.75" customHeight="1">
      <c r="A37" s="14"/>
      <c r="B37" s="130" t="s">
        <v>120</v>
      </c>
      <c r="C37" s="131"/>
      <c r="D37" s="58"/>
      <c r="E37" s="57"/>
      <c r="F37" s="61"/>
      <c r="G37" s="57"/>
      <c r="H37" s="68"/>
      <c r="I37" s="70"/>
      <c r="J37" s="65"/>
      <c r="K37" s="69"/>
      <c r="L37" s="61"/>
      <c r="M37" s="61"/>
      <c r="N37" s="25"/>
    </row>
    <row r="38" spans="1:14" ht="38.25" customHeight="1">
      <c r="A38" s="60"/>
      <c r="B38" s="132" t="s">
        <v>148</v>
      </c>
      <c r="C38" s="134"/>
      <c r="D38" s="58" t="s">
        <v>123</v>
      </c>
      <c r="E38" s="228" t="s">
        <v>149</v>
      </c>
      <c r="F38" s="194">
        <f>1620810/587</f>
        <v>2761.1754684838161</v>
      </c>
      <c r="G38" s="184"/>
      <c r="H38" s="194">
        <f>SUM(F38:G38)</f>
        <v>2761.1754684838161</v>
      </c>
      <c r="I38" s="194">
        <f>1589584/673</f>
        <v>2361.9375928677564</v>
      </c>
      <c r="J38" s="67"/>
      <c r="K38" s="194">
        <f>SUM(I38:J38)</f>
        <v>2361.9375928677564</v>
      </c>
      <c r="L38" s="194">
        <v>-399.3</v>
      </c>
      <c r="M38" s="194"/>
      <c r="N38" s="77">
        <f t="shared" ref="N38" si="9">SUM(L38:M38)</f>
        <v>-399.3</v>
      </c>
    </row>
    <row r="39" spans="1:14" ht="15" customHeight="1">
      <c r="A39" s="14"/>
      <c r="B39" s="132" t="s">
        <v>89</v>
      </c>
      <c r="C39" s="134"/>
      <c r="D39" s="63"/>
      <c r="E39" s="63"/>
      <c r="F39" s="63"/>
      <c r="G39" s="63"/>
      <c r="H39" s="63"/>
      <c r="I39" s="63"/>
      <c r="J39" s="58"/>
      <c r="K39" s="57"/>
      <c r="L39" s="57"/>
      <c r="M39" s="61"/>
      <c r="N39" s="61"/>
    </row>
    <row r="40" spans="1:14" ht="54" customHeight="1">
      <c r="A40" s="60"/>
      <c r="B40" s="135" t="s">
        <v>150</v>
      </c>
      <c r="C40" s="135"/>
      <c r="D40" s="58" t="s">
        <v>134</v>
      </c>
      <c r="E40" s="73" t="s">
        <v>151</v>
      </c>
      <c r="F40" s="61">
        <v>0</v>
      </c>
      <c r="G40" s="61"/>
      <c r="H40" s="61">
        <f>SUM(F40:G40)</f>
        <v>0</v>
      </c>
      <c r="I40" s="61">
        <v>14.7</v>
      </c>
      <c r="J40" s="18"/>
      <c r="K40" s="61">
        <f>SUM(I40:J40)</f>
        <v>14.7</v>
      </c>
      <c r="L40" s="61">
        <f t="shared" ref="L40" si="10">I40-F40</f>
        <v>14.7</v>
      </c>
      <c r="M40" s="61"/>
      <c r="N40" s="25">
        <f t="shared" ref="N40" si="11">SUM(L40:M40)</f>
        <v>14.7</v>
      </c>
    </row>
    <row r="41" spans="1:14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B44" s="136" t="s">
        <v>243</v>
      </c>
      <c r="C44" s="136"/>
      <c r="D44" s="136"/>
      <c r="E44" s="2"/>
      <c r="F44" s="2"/>
      <c r="G44" s="2"/>
      <c r="H44" s="4"/>
      <c r="I44" s="137" t="s">
        <v>45</v>
      </c>
      <c r="J44" s="137"/>
      <c r="K44" s="2"/>
      <c r="L44" s="2"/>
      <c r="M44" s="2"/>
    </row>
    <row r="45" spans="1:14" ht="15.75">
      <c r="B45" s="7" t="s">
        <v>43</v>
      </c>
      <c r="C45" s="7"/>
      <c r="D45" s="2"/>
      <c r="E45" s="2"/>
      <c r="F45" s="2"/>
      <c r="G45" s="2"/>
      <c r="H45" s="2" t="s">
        <v>44</v>
      </c>
      <c r="I45" s="2"/>
      <c r="J45" s="2"/>
      <c r="K45" s="2"/>
      <c r="L45" s="2"/>
      <c r="M45" s="2"/>
    </row>
    <row r="46" spans="1:14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4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mergeCells count="34">
    <mergeCell ref="B34:C34"/>
    <mergeCell ref="B35:H35"/>
    <mergeCell ref="B38:C38"/>
    <mergeCell ref="B27:E27"/>
    <mergeCell ref="C14:J14"/>
    <mergeCell ref="B36:C36"/>
    <mergeCell ref="B37:C37"/>
    <mergeCell ref="B39:C39"/>
    <mergeCell ref="B40:C40"/>
    <mergeCell ref="B44:D44"/>
    <mergeCell ref="I44:J44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8:C28"/>
    <mergeCell ref="I18:K18"/>
    <mergeCell ref="L18:N18"/>
    <mergeCell ref="B20:H20"/>
    <mergeCell ref="B21:C21"/>
    <mergeCell ref="B22:C22"/>
    <mergeCell ref="D6:J6"/>
    <mergeCell ref="C9:J9"/>
    <mergeCell ref="B10:K10"/>
    <mergeCell ref="A18:A19"/>
    <mergeCell ref="B18:C19"/>
    <mergeCell ref="D18:D19"/>
    <mergeCell ref="E18:E19"/>
    <mergeCell ref="F18:H18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інвестиції</vt:lpstr>
      <vt:lpstr>програми</vt:lpstr>
      <vt:lpstr>1016310 показн.</vt:lpstr>
      <vt:lpstr>1013160 показн.</vt:lpstr>
      <vt:lpstr>1011230 показн.</vt:lpstr>
      <vt:lpstr>1011210 показн.</vt:lpstr>
      <vt:lpstr>1011200 показн.</vt:lpstr>
      <vt:lpstr>1011190 показн.</vt:lpstr>
      <vt:lpstr>1011170 показн.</vt:lpstr>
      <vt:lpstr>1011090 показн.</vt:lpstr>
      <vt:lpstr>1011020 показн.</vt:lpstr>
      <vt:lpstr>звіт за 2017 рік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2018-02-13T12:51:32Z</dcterms:modified>
</cp:coreProperties>
</file>