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0" windowWidth="14625" windowHeight="8310"/>
  </bookViews>
  <sheets>
    <sheet name="Добронадіївська ЗШ І-ІІІ ст" sheetId="28" r:id="rId1"/>
    <sheet name="Новоселівський НВК" sheetId="30" r:id="rId2"/>
    <sheet name="Куколівський НВК" sheetId="31" r:id="rId3"/>
    <sheet name="Косівське НВО" sheetId="33" r:id="rId4"/>
    <sheet name="Лікарівський НВК" sheetId="34" r:id="rId5"/>
    <sheet name="Недогарський НВК " sheetId="38" r:id="rId6"/>
    <sheet name="Олександрівська ЗШ І-ІІІ ст" sheetId="39" r:id="rId7"/>
    <sheet name="Ульянівська ЗШ І-ІІІ ст" sheetId="42" r:id="rId8"/>
    <sheet name="Червонокамянське НВО" sheetId="44" r:id="rId9"/>
    <sheet name="Андріївська ЗШ І-ІІ ст" sheetId="46" r:id="rId10"/>
    <sheet name="Щасливська ЗШ І-ІІ ст" sheetId="48" r:id="rId11"/>
    <sheet name="Ясинуватська ЗШ І-ІІ ст" sheetId="49" r:id="rId12"/>
    <sheet name="Лист1" sheetId="51" r:id="rId13"/>
  </sheets>
  <calcPr calcId="125725"/>
</workbook>
</file>

<file path=xl/calcChain.xml><?xml version="1.0" encoding="utf-8"?>
<calcChain xmlns="http://schemas.openxmlformats.org/spreadsheetml/2006/main">
  <c r="C21" i="42"/>
  <c r="C21" i="33"/>
  <c r="C21" i="31"/>
  <c r="C21" i="28"/>
  <c r="C21" i="48"/>
  <c r="C21" i="46"/>
  <c r="C21" i="44"/>
  <c r="C21" i="39"/>
  <c r="C21" i="38"/>
  <c r="C21" i="34"/>
  <c r="C21" i="30"/>
  <c r="C21" i="49"/>
  <c r="D21" i="42"/>
  <c r="D21" i="39"/>
  <c r="D21" i="30"/>
  <c r="D21" i="49"/>
  <c r="D21" i="48"/>
  <c r="D21" i="46"/>
  <c r="D21" i="44"/>
  <c r="D21" i="38"/>
  <c r="D21" i="34"/>
  <c r="D21" i="33"/>
  <c r="D21" i="31"/>
  <c r="D21" i="28"/>
  <c r="C23" i="30" l="1"/>
  <c r="C18" i="33"/>
  <c r="C18" i="31"/>
  <c r="C18" i="28"/>
  <c r="C17" i="48"/>
  <c r="D14" i="31" l="1"/>
  <c r="D14" i="48"/>
  <c r="C14"/>
  <c r="C14" i="30" l="1"/>
  <c r="C14" i="28"/>
  <c r="C11" i="42"/>
  <c r="C11" i="39"/>
  <c r="C11" i="28"/>
  <c r="C11" i="44"/>
  <c r="C10"/>
  <c r="C9" i="28"/>
  <c r="C9" i="38"/>
  <c r="C9" i="42"/>
  <c r="C9" i="44"/>
  <c r="C9" i="46"/>
  <c r="C9" i="48"/>
  <c r="C9" i="49"/>
  <c r="C8" i="34"/>
  <c r="C8" i="33"/>
  <c r="C8" i="31"/>
  <c r="C8" i="30"/>
  <c r="C7" i="38" l="1"/>
  <c r="C7" i="28"/>
  <c r="C7" i="33"/>
  <c r="C7" i="34"/>
  <c r="C7" i="44"/>
  <c r="C7" i="48"/>
  <c r="C7" i="46"/>
  <c r="C7" i="39"/>
  <c r="C7" i="31"/>
  <c r="C7" i="30"/>
  <c r="C8" i="44"/>
  <c r="C8" i="48"/>
  <c r="C8" i="38"/>
  <c r="C8" i="28"/>
  <c r="C8" i="42"/>
  <c r="C8" i="39" l="1"/>
  <c r="C9" i="30"/>
  <c r="C9" i="31"/>
  <c r="C9" i="33"/>
  <c r="C9" i="34"/>
  <c r="C9" i="39"/>
  <c r="C10" i="48"/>
  <c r="C10" i="33"/>
  <c r="C10" i="46"/>
  <c r="C10" i="31"/>
  <c r="C10" i="30"/>
  <c r="C10" i="28"/>
  <c r="C10" i="38"/>
  <c r="C10" i="34"/>
  <c r="C11" i="49"/>
  <c r="C11" i="38"/>
  <c r="C11" i="34"/>
  <c r="C11" i="33"/>
  <c r="C11" i="31"/>
  <c r="F11" i="28"/>
  <c r="C11" i="30"/>
  <c r="C12" i="28"/>
  <c r="C14" i="39"/>
  <c r="C15"/>
  <c r="C15" i="46"/>
  <c r="C15" i="30"/>
  <c r="C15" i="38"/>
  <c r="C15" i="33"/>
  <c r="C15" i="34"/>
  <c r="C16" i="38"/>
  <c r="C16" i="34"/>
  <c r="C16" i="33"/>
  <c r="C16" i="31"/>
  <c r="C16" i="30"/>
  <c r="C17" i="44"/>
  <c r="C17" i="49"/>
  <c r="C17" i="46"/>
  <c r="C17" i="42"/>
  <c r="C17" i="39"/>
  <c r="C17" i="28"/>
  <c r="C18" i="49"/>
  <c r="C18" i="48"/>
  <c r="C18" i="46"/>
  <c r="C18" i="44"/>
  <c r="C18" i="42"/>
  <c r="C18" i="39"/>
  <c r="C18" i="38"/>
  <c r="C18" i="34"/>
  <c r="C18" i="30"/>
  <c r="F18" i="28"/>
  <c r="C20" i="31"/>
  <c r="C20" i="42"/>
  <c r="C20" i="44"/>
  <c r="C20" i="46"/>
  <c r="C20" i="48"/>
  <c r="C20" i="49"/>
  <c r="F8"/>
  <c r="F9"/>
  <c r="F10"/>
  <c r="F11"/>
  <c r="F12"/>
  <c r="F13"/>
  <c r="F14"/>
  <c r="F15"/>
  <c r="F16"/>
  <c r="F17"/>
  <c r="F18"/>
  <c r="F19"/>
  <c r="F20"/>
  <c r="F21"/>
  <c r="F22"/>
  <c r="F23"/>
  <c r="F24"/>
  <c r="F7"/>
  <c r="F8" i="48"/>
  <c r="F9"/>
  <c r="F10"/>
  <c r="F11"/>
  <c r="F12"/>
  <c r="F13"/>
  <c r="F14"/>
  <c r="F15"/>
  <c r="F16"/>
  <c r="F17"/>
  <c r="F18"/>
  <c r="F19"/>
  <c r="F20"/>
  <c r="F21"/>
  <c r="F22"/>
  <c r="F23"/>
  <c r="F24"/>
  <c r="F7"/>
  <c r="F8" i="46"/>
  <c r="F9"/>
  <c r="F10"/>
  <c r="F11"/>
  <c r="F12"/>
  <c r="F13"/>
  <c r="F14"/>
  <c r="F15"/>
  <c r="F16"/>
  <c r="F17"/>
  <c r="F18"/>
  <c r="F19"/>
  <c r="F20"/>
  <c r="F21"/>
  <c r="F22"/>
  <c r="F23"/>
  <c r="F24"/>
  <c r="F7"/>
  <c r="F8" i="44"/>
  <c r="F9"/>
  <c r="F10"/>
  <c r="F11"/>
  <c r="F12"/>
  <c r="F13"/>
  <c r="F14"/>
  <c r="F15"/>
  <c r="F16"/>
  <c r="F17"/>
  <c r="F18"/>
  <c r="F19"/>
  <c r="F20"/>
  <c r="F21"/>
  <c r="F22"/>
  <c r="F23"/>
  <c r="F24"/>
  <c r="F7"/>
  <c r="F8" i="42"/>
  <c r="F9"/>
  <c r="F10"/>
  <c r="F11"/>
  <c r="F12"/>
  <c r="F13"/>
  <c r="F14"/>
  <c r="F15"/>
  <c r="F16"/>
  <c r="F17"/>
  <c r="F18"/>
  <c r="F19"/>
  <c r="F20"/>
  <c r="F21"/>
  <c r="F22"/>
  <c r="F23"/>
  <c r="F24"/>
  <c r="F7"/>
  <c r="C20" i="39"/>
  <c r="C20" i="28"/>
  <c r="F8" i="39"/>
  <c r="F9"/>
  <c r="F10"/>
  <c r="F11"/>
  <c r="F12"/>
  <c r="F13"/>
  <c r="F14"/>
  <c r="F15"/>
  <c r="F16"/>
  <c r="F17"/>
  <c r="F18"/>
  <c r="F19"/>
  <c r="F20"/>
  <c r="F21"/>
  <c r="F22"/>
  <c r="F23"/>
  <c r="F24"/>
  <c r="F7"/>
  <c r="C20" i="33"/>
  <c r="C20" i="38"/>
  <c r="F8"/>
  <c r="F9"/>
  <c r="F10"/>
  <c r="F11"/>
  <c r="F12"/>
  <c r="F13"/>
  <c r="F14"/>
  <c r="F15"/>
  <c r="F16"/>
  <c r="F17"/>
  <c r="F18"/>
  <c r="F19"/>
  <c r="F20"/>
  <c r="F21"/>
  <c r="F22"/>
  <c r="F23"/>
  <c r="F24"/>
  <c r="F7"/>
  <c r="C20" i="34"/>
  <c r="F8"/>
  <c r="F9"/>
  <c r="F10"/>
  <c r="F11"/>
  <c r="F12"/>
  <c r="F13"/>
  <c r="F14"/>
  <c r="F15"/>
  <c r="F16"/>
  <c r="F17"/>
  <c r="F18"/>
  <c r="F19"/>
  <c r="F20"/>
  <c r="F21"/>
  <c r="F22"/>
  <c r="F23"/>
  <c r="F24"/>
  <c r="F7"/>
  <c r="F8" i="33"/>
  <c r="F9"/>
  <c r="F10"/>
  <c r="F11"/>
  <c r="F12"/>
  <c r="F13"/>
  <c r="F14"/>
  <c r="F15"/>
  <c r="F16"/>
  <c r="F17"/>
  <c r="F18"/>
  <c r="F19"/>
  <c r="F20"/>
  <c r="F21"/>
  <c r="F22"/>
  <c r="F23"/>
  <c r="F24"/>
  <c r="F7"/>
  <c r="F8" i="31"/>
  <c r="F9"/>
  <c r="F10"/>
  <c r="F11"/>
  <c r="F12"/>
  <c r="F13"/>
  <c r="F14"/>
  <c r="F15"/>
  <c r="F16"/>
  <c r="F17"/>
  <c r="F18"/>
  <c r="F19"/>
  <c r="F20"/>
  <c r="F21"/>
  <c r="F22"/>
  <c r="F23"/>
  <c r="F24"/>
  <c r="F7"/>
  <c r="C20" i="30"/>
  <c r="F8"/>
  <c r="F9"/>
  <c r="F10"/>
  <c r="F11"/>
  <c r="F12"/>
  <c r="F13"/>
  <c r="F14"/>
  <c r="F15"/>
  <c r="F16"/>
  <c r="F17"/>
  <c r="F18"/>
  <c r="F19"/>
  <c r="F20"/>
  <c r="F21"/>
  <c r="F22"/>
  <c r="F23"/>
  <c r="F24"/>
  <c r="F7"/>
  <c r="F8" i="28"/>
  <c r="F9"/>
  <c r="F10"/>
  <c r="F12"/>
  <c r="F13"/>
  <c r="F14"/>
  <c r="F15"/>
  <c r="F16"/>
  <c r="F17"/>
  <c r="F19"/>
  <c r="F20"/>
  <c r="F21"/>
  <c r="F22"/>
  <c r="F23"/>
  <c r="F24"/>
  <c r="F7"/>
  <c r="C43" i="38" l="1"/>
  <c r="C44" i="39"/>
  <c r="C43" i="44"/>
  <c r="C31" i="49" l="1"/>
  <c r="C70" i="28"/>
  <c r="C57"/>
  <c r="C71" i="31"/>
  <c r="C70" i="34"/>
  <c r="C64"/>
  <c r="C70" i="38"/>
  <c r="D43"/>
  <c r="C71" i="39"/>
  <c r="C58"/>
  <c r="D44"/>
  <c r="C65" i="42"/>
  <c r="C71"/>
  <c r="C58"/>
  <c r="C64"/>
  <c r="C70" i="44"/>
  <c r="C57"/>
  <c r="D43"/>
  <c r="C70" i="46"/>
  <c r="C70" i="48"/>
  <c r="D9" i="49"/>
  <c r="D9" i="48"/>
  <c r="D9" i="46"/>
  <c r="D9" i="44"/>
  <c r="D8"/>
  <c r="D7"/>
  <c r="D9" i="42"/>
  <c r="D9" i="39"/>
  <c r="D8"/>
  <c r="D7"/>
  <c r="D16" i="38"/>
  <c r="D15"/>
  <c r="D11"/>
  <c r="D10"/>
  <c r="D9"/>
  <c r="D8"/>
  <c r="D7"/>
  <c r="D10" i="34"/>
  <c r="D9"/>
  <c r="D8"/>
  <c r="D7"/>
  <c r="D9" i="33"/>
  <c r="D8"/>
  <c r="D7"/>
  <c r="D8" i="31"/>
  <c r="D7"/>
  <c r="D10"/>
  <c r="D9"/>
  <c r="D16" i="30"/>
  <c r="D15"/>
  <c r="D14"/>
  <c r="D11"/>
  <c r="D10"/>
  <c r="D9"/>
  <c r="D8"/>
  <c r="D7"/>
  <c r="D9" i="28"/>
  <c r="C49" i="46"/>
  <c r="C49" i="48"/>
  <c r="D43"/>
  <c r="D43" i="46"/>
  <c r="D49"/>
  <c r="D49" i="48" l="1"/>
  <c r="D49" i="51" l="1"/>
  <c r="D45"/>
  <c r="D44"/>
  <c r="C57"/>
  <c r="E8" i="49"/>
  <c r="E9"/>
  <c r="E10"/>
  <c r="E11"/>
  <c r="E12"/>
  <c r="E13"/>
  <c r="E14"/>
  <c r="E15"/>
  <c r="E16"/>
  <c r="E17"/>
  <c r="E18"/>
  <c r="E19"/>
  <c r="E20"/>
  <c r="E21"/>
  <c r="E22"/>
  <c r="E23"/>
  <c r="E24"/>
  <c r="E7"/>
  <c r="E8" i="48"/>
  <c r="E9"/>
  <c r="E10"/>
  <c r="E11"/>
  <c r="E12"/>
  <c r="E13"/>
  <c r="E14"/>
  <c r="E15"/>
  <c r="E16"/>
  <c r="E17"/>
  <c r="E18"/>
  <c r="E19"/>
  <c r="E20"/>
  <c r="E21"/>
  <c r="E22"/>
  <c r="E23"/>
  <c r="E24"/>
  <c r="E7"/>
  <c r="E8" i="46"/>
  <c r="E9"/>
  <c r="E10"/>
  <c r="E11"/>
  <c r="E12"/>
  <c r="E13"/>
  <c r="E14"/>
  <c r="E15"/>
  <c r="E16"/>
  <c r="E17"/>
  <c r="E18"/>
  <c r="E19"/>
  <c r="E20"/>
  <c r="E21"/>
  <c r="E22"/>
  <c r="E23"/>
  <c r="E24"/>
  <c r="E7"/>
  <c r="E8" i="44"/>
  <c r="E9"/>
  <c r="E10"/>
  <c r="E11"/>
  <c r="E12"/>
  <c r="E13"/>
  <c r="E14"/>
  <c r="E15"/>
  <c r="E16"/>
  <c r="E17"/>
  <c r="E18"/>
  <c r="E19"/>
  <c r="E20"/>
  <c r="E21"/>
  <c r="E22"/>
  <c r="E23"/>
  <c r="E24"/>
  <c r="E7"/>
  <c r="E8" i="42"/>
  <c r="E9"/>
  <c r="E10"/>
  <c r="E11"/>
  <c r="E12"/>
  <c r="E13"/>
  <c r="E14"/>
  <c r="E15"/>
  <c r="E16"/>
  <c r="E17"/>
  <c r="E18"/>
  <c r="E19"/>
  <c r="E20"/>
  <c r="E21"/>
  <c r="E22"/>
  <c r="E23"/>
  <c r="E24"/>
  <c r="E7"/>
  <c r="E8" i="39"/>
  <c r="E9"/>
  <c r="E10"/>
  <c r="E11"/>
  <c r="E12"/>
  <c r="E13"/>
  <c r="E14"/>
  <c r="E15"/>
  <c r="E16"/>
  <c r="E17"/>
  <c r="E18"/>
  <c r="E19"/>
  <c r="E20"/>
  <c r="E21"/>
  <c r="E22"/>
  <c r="E23"/>
  <c r="E24"/>
  <c r="E7"/>
  <c r="E8" i="38"/>
  <c r="E9"/>
  <c r="E10"/>
  <c r="E11"/>
  <c r="E12"/>
  <c r="E13"/>
  <c r="E14"/>
  <c r="E15"/>
  <c r="E16"/>
  <c r="E17"/>
  <c r="E18"/>
  <c r="E19"/>
  <c r="E20"/>
  <c r="E21"/>
  <c r="E22"/>
  <c r="E23"/>
  <c r="E24"/>
  <c r="E7"/>
  <c r="E8" i="34"/>
  <c r="E9"/>
  <c r="E10"/>
  <c r="E11"/>
  <c r="E12"/>
  <c r="E13"/>
  <c r="E14"/>
  <c r="E15"/>
  <c r="E16"/>
  <c r="E17"/>
  <c r="E18"/>
  <c r="E19"/>
  <c r="E20"/>
  <c r="E21"/>
  <c r="E22"/>
  <c r="E23"/>
  <c r="E24"/>
  <c r="E7"/>
  <c r="E8" i="33"/>
  <c r="E9"/>
  <c r="E10"/>
  <c r="E11"/>
  <c r="E12"/>
  <c r="E13"/>
  <c r="E14"/>
  <c r="E15"/>
  <c r="E16"/>
  <c r="E17"/>
  <c r="E18"/>
  <c r="E19"/>
  <c r="E20"/>
  <c r="E21"/>
  <c r="E22"/>
  <c r="E23"/>
  <c r="E24"/>
  <c r="E7"/>
  <c r="E9" i="31"/>
  <c r="E8"/>
  <c r="E10"/>
  <c r="E11"/>
  <c r="E12"/>
  <c r="E13"/>
  <c r="E14"/>
  <c r="E15"/>
  <c r="E16"/>
  <c r="E17"/>
  <c r="E18"/>
  <c r="E19"/>
  <c r="E20"/>
  <c r="E21"/>
  <c r="E22"/>
  <c r="E23"/>
  <c r="E24"/>
  <c r="E7"/>
  <c r="E8" i="30"/>
  <c r="E9"/>
  <c r="E10"/>
  <c r="E11"/>
  <c r="E12"/>
  <c r="E13"/>
  <c r="E14"/>
  <c r="E15"/>
  <c r="E16"/>
  <c r="E17"/>
  <c r="E18"/>
  <c r="E19"/>
  <c r="E20"/>
  <c r="E21"/>
  <c r="E22"/>
  <c r="E23"/>
  <c r="E24"/>
  <c r="E7"/>
  <c r="E8" i="28"/>
  <c r="E9"/>
  <c r="E10"/>
  <c r="E11"/>
  <c r="E12"/>
  <c r="E13"/>
  <c r="E14"/>
  <c r="E15"/>
  <c r="E16"/>
  <c r="E17"/>
  <c r="E18"/>
  <c r="E19"/>
  <c r="E20"/>
  <c r="E21"/>
  <c r="E22"/>
  <c r="E23"/>
  <c r="E24"/>
  <c r="E7"/>
  <c r="C50" i="30"/>
  <c r="C50" i="39"/>
  <c r="C50" i="42"/>
  <c r="D51" i="39" l="1"/>
  <c r="C50" i="38"/>
  <c r="D50"/>
  <c r="C50" i="34" l="1"/>
  <c r="D37" l="1"/>
  <c r="C50" i="44"/>
  <c r="C51" i="39"/>
  <c r="C75" i="44" l="1"/>
  <c r="D51" i="42"/>
  <c r="C51"/>
  <c r="D50" i="44"/>
  <c r="C76" i="49"/>
  <c r="C75" i="48"/>
  <c r="C75" i="46"/>
  <c r="C75" i="34"/>
  <c r="C75" i="33"/>
  <c r="C76" i="31"/>
  <c r="C76" i="30"/>
  <c r="C75" i="28"/>
  <c r="C75" i="38"/>
  <c r="C76" i="39"/>
  <c r="D50" i="34" l="1"/>
  <c r="C77" i="42"/>
  <c r="D25" i="49"/>
  <c r="D25" i="48"/>
  <c r="D25" i="46"/>
  <c r="D25" i="44"/>
  <c r="D25" i="42"/>
  <c r="D25" i="39"/>
  <c r="D25" i="38"/>
  <c r="D25" i="34"/>
  <c r="D25" i="33"/>
  <c r="D25" i="31"/>
  <c r="D25" i="30"/>
  <c r="D25" i="28"/>
  <c r="C51" i="49" l="1"/>
  <c r="D51"/>
  <c r="D38"/>
  <c r="C38"/>
  <c r="D36" i="48"/>
  <c r="C36"/>
  <c r="D36" i="46"/>
  <c r="C36"/>
  <c r="D37" i="44"/>
  <c r="C37"/>
  <c r="D38" i="42"/>
  <c r="C38"/>
  <c r="D38" i="39"/>
  <c r="C38"/>
  <c r="C37" i="38"/>
  <c r="D37"/>
  <c r="C37" i="34"/>
  <c r="C50" i="33"/>
  <c r="D50"/>
  <c r="D37"/>
  <c r="C37"/>
  <c r="C50" i="31"/>
  <c r="D50"/>
  <c r="C37"/>
  <c r="D37"/>
  <c r="C51" i="30"/>
  <c r="D51"/>
  <c r="C38"/>
  <c r="D38"/>
  <c r="C51" i="28"/>
  <c r="D51"/>
  <c r="D37"/>
  <c r="C37"/>
  <c r="C25" i="48" l="1"/>
  <c r="F25" s="1"/>
  <c r="C25" i="46"/>
  <c r="F25" s="1"/>
  <c r="C25" i="31"/>
  <c r="F25" s="1"/>
  <c r="C25" i="30"/>
  <c r="F25" s="1"/>
  <c r="C25" i="28"/>
  <c r="F25" s="1"/>
  <c r="E25" i="46" l="1"/>
  <c r="E25" i="48"/>
  <c r="E25" i="31"/>
  <c r="E25" i="30"/>
  <c r="E25" i="28"/>
  <c r="C25" i="39"/>
  <c r="F25" s="1"/>
  <c r="C25" i="49"/>
  <c r="F25" s="1"/>
  <c r="C25" i="44"/>
  <c r="F25" s="1"/>
  <c r="C25" i="38"/>
  <c r="F25" s="1"/>
  <c r="C25" i="34"/>
  <c r="F25" s="1"/>
  <c r="C25" i="33"/>
  <c r="F25" s="1"/>
  <c r="C25" i="42"/>
  <c r="F25" s="1"/>
  <c r="E25" i="49" l="1"/>
  <c r="E25" i="44"/>
  <c r="E25" i="42"/>
  <c r="E25" i="39"/>
  <c r="E25" i="38"/>
  <c r="E25" i="34"/>
  <c r="E25" i="33"/>
</calcChain>
</file>

<file path=xl/sharedStrings.xml><?xml version="1.0" encoding="utf-8"?>
<sst xmlns="http://schemas.openxmlformats.org/spreadsheetml/2006/main" count="878" uniqueCount="72">
  <si>
    <t>Показники</t>
  </si>
  <si>
    <t>КЕКВ</t>
  </si>
  <si>
    <t>Предмети,матеріали,обладнання та інвентар</t>
  </si>
  <si>
    <t>Продукти харчування</t>
  </si>
  <si>
    <t>Оплата послуг(крім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</si>
  <si>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</si>
  <si>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</si>
  <si>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</si>
  <si>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енергії</t>
  </si>
  <si>
    <t>Оплата природного газу</t>
  </si>
  <si>
    <t>Оплата інших енергоносіїв</t>
  </si>
  <si>
    <t>Окремі заходи по реалізації (регіональних ) програм, не віднесені до заходів розвитку</t>
  </si>
  <si>
    <t>Придбання обладнання і предметів довгострокового користування</t>
  </si>
  <si>
    <t>Разом</t>
  </si>
  <si>
    <t>Інші виплати населенню</t>
  </si>
  <si>
    <t>Інші поточні видатки</t>
  </si>
  <si>
    <t xml:space="preserve">Капітальний ремонт </t>
  </si>
  <si>
    <t>Касові видатка на звітний період</t>
  </si>
  <si>
    <t>Касові видатки на звітний період</t>
  </si>
  <si>
    <t xml:space="preserve"> </t>
  </si>
  <si>
    <t>Капітальне будівництво ( придбання ) інших об´єктів</t>
  </si>
  <si>
    <t>Капітальний ремонт інших об´єктів</t>
  </si>
  <si>
    <t>Заробітна плата</t>
  </si>
  <si>
    <t>Затверджено на рік</t>
  </si>
  <si>
    <t>Звіт про використання коштів загального фонду, та інших надходжень спеціального фонду</t>
  </si>
  <si>
    <t xml:space="preserve">Звіт про використання коштів отриманих як плата за послуги </t>
  </si>
  <si>
    <t>Звіт про використання коштів отриманих за іншими джерелами власних надходжень</t>
  </si>
  <si>
    <t>Назва товару,роботи та послуг</t>
  </si>
  <si>
    <t>вартість, грн</t>
  </si>
  <si>
    <t>Добронадіївська  загальноосвітня школа І-ІІІ ступенів Олександрійської районної ради Кіровоградської області</t>
  </si>
  <si>
    <t>Куколівський навчально-виховний комплекс «загальноосвітня школа І-ІІІ ступенів – дошкільний навчальний заклад» Олександрійської районної ради Кіровоградської області</t>
  </si>
  <si>
    <t>Олександрівська загальноосвітня школа І-ІІІ ступенів Олександрійської районної ради Кіровоградської області</t>
  </si>
  <si>
    <t>Господарчі товари</t>
  </si>
  <si>
    <t>Бензин</t>
  </si>
  <si>
    <t>Шкільні меблі</t>
  </si>
  <si>
    <t>Наочні посібники</t>
  </si>
  <si>
    <t>Будівельні матеріали</t>
  </si>
  <si>
    <t>Шкільне обладнання</t>
  </si>
  <si>
    <t>Електрообладнання</t>
  </si>
  <si>
    <t>Диз. Пальне</t>
  </si>
  <si>
    <t>Меблі</t>
  </si>
  <si>
    <t>Комп'ютерне обладнання</t>
  </si>
  <si>
    <t>Послуга харчування</t>
  </si>
  <si>
    <t>Новорічні подарунки</t>
  </si>
  <si>
    <t>Нарахування на оплату праці</t>
  </si>
  <si>
    <t>Реконструкція та реставрація інших об´єктів</t>
  </si>
  <si>
    <t>Спортивне обладнання</t>
  </si>
  <si>
    <t>Кухонне обладнання</t>
  </si>
  <si>
    <t>Медичне обладнання</t>
  </si>
  <si>
    <t>Інше</t>
  </si>
  <si>
    <t>Ремонт</t>
  </si>
  <si>
    <t>Щасливська  загальноосвітня школа І-ІІ ступенів Олександрійської районної ради Кіровоградської області</t>
  </si>
  <si>
    <t>Ясинуватська загальноосвітня школа І-ІІ ступенів Олександрійської районної ради Кіровоградської області</t>
  </si>
  <si>
    <t>Оприбуткування втраченої літератури</t>
  </si>
  <si>
    <t>Новоселівський навчально-виховний комплекс «загальноосвітня школа І-ІІ ступенів – дошкільний навчальний заклад» Олександрійської районної ради Кіровоградської області</t>
  </si>
  <si>
    <t>3110-2210</t>
  </si>
  <si>
    <t>Косівське навчально-виховне об’єднання «загальноосвітня школа І-ІІІ ступенів – позашкільний центр» Олександрійської районної ради Кіровоградської області</t>
  </si>
  <si>
    <t>Лікарівський навчально-виховний комплекс  "загальноосвітня школа І-ІІ ступенів-дошкільний навчальний заклад" Олександрійської районної ради Кіровоградської області</t>
  </si>
  <si>
    <t>Улянівська загальноосвітня школа І-ІІІ ступенів Олександрійської районної ради Кіровоградської області</t>
  </si>
  <si>
    <t>Червонокам'янське навчально-виховне об’єднання «загальноосвітня школа І-ІІІ ступенів – дошкільний навчальний заклад- позашкільний центр» Олександрійської районної ради Кіровоградської області</t>
  </si>
  <si>
    <t>Андріївська загальноосвітня школа І-ІІ ступенів  Олександрійської районної ради Кіровоградської області</t>
  </si>
  <si>
    <t xml:space="preserve">Сума коштів, отриманих з інших джерел, не заборонених чинним законодавством: </t>
  </si>
  <si>
    <t>Інформація про перелік товарів,робіт і послуг отриманих як благодійна допомога станом на 01.03. 2019 року</t>
  </si>
  <si>
    <t>Недогарський навчально-виховний комплекс "загальноосвітня школа І-ІІІ ступенів - дошкільний навчальний заклад" Олександрійської районної ради Кіровоградської області</t>
  </si>
  <si>
    <t>Сума коштів, отриманих з інших джерел, не заборонених чинним законодавством: 449,97</t>
  </si>
  <si>
    <t xml:space="preserve">Кошторис та фінансовий звіт  про надходження та використання   коштів стоном на 01.09.2019 року  </t>
  </si>
  <si>
    <t>Інформація про перелік товарів,робіт і послуг отриманих як благодійна допомога станом на 01.09. 2019 року</t>
  </si>
  <si>
    <t>Інформація про перелік товарів,робіт і послуг отриманих як благодійна допомога станом на 01.10. 2019 року</t>
  </si>
  <si>
    <t xml:space="preserve">Кошторис та фінансовий звіт  про надходження та використання   коштів стоном на 01.01.2020 року  </t>
  </si>
  <si>
    <t>Інформація про перелік товарів,робіт і послуг отриманих як благодійна допомога станом на 01.01. 2020 року</t>
  </si>
  <si>
    <t>Сума коштів, отриманих з інших джерел, не заборонених чинним законодавством: 30000,00</t>
  </si>
  <si>
    <t>Сума коштів, отриманих з інших джерел, не заборонених чинним законодавством: 48363,00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</si>
</sst>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B0F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2" fontId="0" fillId="0" borderId="0" xfId="0" applyNumberFormat="1"/>
    <xf numFmtId="0" fontId="0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2" fontId="3" fillId="0" borderId="0" xfId="0" applyNumberFormat="1" applyFont="1"/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3" fillId="0" borderId="1" xfId="0" applyNumberFormat="1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/>
    <xf numFmtId="2" fontId="3" fillId="2" borderId="1" xfId="0" applyNumberFormat="1" applyFont="1" applyFill="1" applyBorder="1"/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/>
    <xf numFmtId="2" fontId="0" fillId="0" borderId="0" xfId="0" applyNumberForma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/>
    <xf numFmtId="16" fontId="0" fillId="0" borderId="0" xfId="0" applyNumberFormat="1"/>
    <xf numFmtId="0" fontId="6" fillId="0" borderId="0" xfId="0" applyFont="1"/>
    <xf numFmtId="0" fontId="2" fillId="0" borderId="1" xfId="0" applyFont="1" applyBorder="1" applyAlignment="1">
      <alignment wrapText="1"/>
    </xf>
    <xf numFmtId="2" fontId="8" fillId="0" borderId="0" xfId="0" applyNumberFormat="1" applyFont="1"/>
    <xf numFmtId="0" fontId="2" fillId="0" borderId="1" xfId="0" applyFont="1" applyBorder="1" applyAlignment="1">
      <alignment wrapText="1"/>
    </xf>
    <xf numFmtId="0" fontId="9" fillId="0" borderId="1" xfId="0" applyFont="1" applyBorder="1" applyAlignment="1"/>
    <xf numFmtId="0" fontId="10" fillId="0" borderId="1" xfId="0" applyNumberFormat="1" applyFont="1" applyBorder="1" applyAlignment="1">
      <alignment horizontal="left"/>
    </xf>
    <xf numFmtId="2" fontId="9" fillId="0" borderId="1" xfId="0" applyNumberFormat="1" applyFont="1" applyBorder="1"/>
    <xf numFmtId="2" fontId="3" fillId="0" borderId="0" xfId="0" applyNumberFormat="1" applyFont="1" applyBorder="1"/>
    <xf numFmtId="2" fontId="0" fillId="0" borderId="0" xfId="0" applyNumberForma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3" fillId="0" borderId="0" xfId="0" applyFont="1" applyBorder="1"/>
    <xf numFmtId="2" fontId="2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2" borderId="1" xfId="0" applyNumberFormat="1" applyFont="1" applyFill="1" applyBorder="1"/>
    <xf numFmtId="2" fontId="3" fillId="0" borderId="1" xfId="0" applyNumberFormat="1" applyFont="1" applyBorder="1" applyAlignment="1">
      <alignment horizontal="right" wrapText="1"/>
    </xf>
    <xf numFmtId="2" fontId="11" fillId="0" borderId="1" xfId="0" applyNumberFormat="1" applyFont="1" applyBorder="1"/>
    <xf numFmtId="2" fontId="12" fillId="0" borderId="1" xfId="0" applyNumberFormat="1" applyFont="1" applyBorder="1"/>
    <xf numFmtId="0" fontId="7" fillId="0" borderId="5" xfId="0" applyFont="1" applyBorder="1"/>
    <xf numFmtId="1" fontId="13" fillId="0" borderId="1" xfId="0" applyNumberFormat="1" applyFont="1" applyBorder="1"/>
    <xf numFmtId="2" fontId="13" fillId="0" borderId="1" xfId="0" applyNumberFormat="1" applyFont="1" applyBorder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3" fillId="0" borderId="4" xfId="0" applyFont="1" applyBorder="1" applyAlignment="1"/>
    <xf numFmtId="2" fontId="9" fillId="0" borderId="3" xfId="0" applyNumberFormat="1" applyFont="1" applyBorder="1" applyAlignment="1"/>
    <xf numFmtId="2" fontId="9" fillId="0" borderId="4" xfId="0" applyNumberFormat="1" applyFont="1" applyBorder="1" applyAlignment="1"/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2" fontId="9" fillId="0" borderId="1" xfId="0" applyNumberFormat="1" applyFont="1" applyBorder="1" applyAlignment="1"/>
    <xf numFmtId="2" fontId="2" fillId="0" borderId="3" xfId="0" applyNumberFormat="1" applyFont="1" applyBorder="1" applyAlignment="1"/>
    <xf numFmtId="2" fontId="2" fillId="0" borderId="4" xfId="0" applyNumberFormat="1" applyFont="1" applyBorder="1" applyAlignment="1"/>
    <xf numFmtId="2" fontId="3" fillId="0" borderId="3" xfId="0" applyNumberFormat="1" applyFont="1" applyBorder="1" applyAlignment="1"/>
    <xf numFmtId="2" fontId="3" fillId="0" borderId="4" xfId="0" applyNumberFormat="1" applyFont="1" applyBorder="1" applyAlignment="1"/>
    <xf numFmtId="2" fontId="3" fillId="0" borderId="1" xfId="0" applyNumberFormat="1" applyFont="1" applyBorder="1" applyAlignment="1"/>
    <xf numFmtId="2" fontId="12" fillId="0" borderId="3" xfId="0" applyNumberFormat="1" applyFont="1" applyBorder="1" applyAlignment="1"/>
    <xf numFmtId="2" fontId="12" fillId="0" borderId="4" xfId="0" applyNumberFormat="1" applyFont="1" applyBorder="1" applyAlignment="1"/>
    <xf numFmtId="0" fontId="0" fillId="0" borderId="0" xfId="0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5"/>
  <sheetViews>
    <sheetView tabSelected="1" workbookViewId="0">
      <selection activeCell="F7" sqref="F1:F1048576"/>
    </sheetView>
  </sheetViews>
  <sheetFormatPr defaultRowHeight="15"/>
  <cols>
    <col min="1" max="1" width="40.875" style="3" customWidth="1"/>
    <col min="2" max="2" width="9.5" style="1" customWidth="1"/>
    <col min="3" max="3" width="17.875" customWidth="1"/>
    <col min="4" max="4" width="17.125" customWidth="1"/>
    <col min="5" max="5" width="11" hidden="1" customWidth="1"/>
    <col min="6" max="6" width="14.5" hidden="1" customWidth="1"/>
    <col min="8" max="8" width="12.75" customWidth="1"/>
  </cols>
  <sheetData>
    <row r="2" spans="1:6" ht="55.5" customHeight="1">
      <c r="A2" s="61" t="s">
        <v>68</v>
      </c>
      <c r="B2" s="62"/>
      <c r="C2" s="62"/>
      <c r="D2" s="62"/>
    </row>
    <row r="3" spans="1:6" ht="40.5" customHeight="1">
      <c r="A3" s="70" t="s">
        <v>29</v>
      </c>
      <c r="B3" s="71"/>
      <c r="C3" s="71"/>
      <c r="D3" s="71"/>
    </row>
    <row r="4" spans="1:6" ht="18.75">
      <c r="A4" s="6"/>
      <c r="B4" s="7"/>
      <c r="C4" s="8"/>
      <c r="D4" s="8"/>
    </row>
    <row r="5" spans="1:6" ht="41.25" customHeight="1">
      <c r="A5" s="67" t="s">
        <v>24</v>
      </c>
      <c r="B5" s="68"/>
      <c r="C5" s="68"/>
      <c r="D5" s="68"/>
    </row>
    <row r="6" spans="1:6" s="2" customFormat="1" ht="74.25" customHeight="1">
      <c r="A6" s="9" t="s">
        <v>0</v>
      </c>
      <c r="B6" s="9" t="s">
        <v>1</v>
      </c>
      <c r="C6" s="10" t="s">
        <v>23</v>
      </c>
      <c r="D6" s="10" t="s">
        <v>17</v>
      </c>
    </row>
    <row r="7" spans="1:6" s="2" customFormat="1" ht="18.75">
      <c r="A7" s="21" t="s">
        <v>22</v>
      </c>
      <c r="B7" s="16">
        <v>2111</v>
      </c>
      <c r="C7" s="23">
        <f>2908269-25000-200000</f>
        <v>2683269</v>
      </c>
      <c r="D7" s="50">
        <v>2668892.61</v>
      </c>
      <c r="E7" s="26">
        <f>C7-D7</f>
        <v>14376.39000000013</v>
      </c>
      <c r="F7" s="26">
        <f>C7-D7</f>
        <v>14376.39000000013</v>
      </c>
    </row>
    <row r="8" spans="1:6" s="2" customFormat="1" ht="18.75">
      <c r="A8" s="21" t="s">
        <v>44</v>
      </c>
      <c r="B8" s="16">
        <v>2120</v>
      </c>
      <c r="C8" s="23">
        <f>650647-16000-2000-40000</f>
        <v>592647</v>
      </c>
      <c r="D8" s="50">
        <v>577355.78</v>
      </c>
      <c r="E8" s="26">
        <f t="shared" ref="E8:E25" si="0">C8-D8</f>
        <v>15291.219999999972</v>
      </c>
      <c r="F8" s="26">
        <f t="shared" ref="F8:F25" si="1">C8-D8</f>
        <v>15291.219999999972</v>
      </c>
    </row>
    <row r="9" spans="1:6" ht="37.5">
      <c r="A9" s="11" t="s">
        <v>2</v>
      </c>
      <c r="B9" s="16">
        <v>2210</v>
      </c>
      <c r="C9" s="13">
        <f>348658+543578-16000-20000-60000-15000-104000-95000-65000-75000-25000-20000-15000-5000-190000-2000-4</f>
        <v>185232</v>
      </c>
      <c r="D9" s="13">
        <f>177665.67</f>
        <v>177665.67</v>
      </c>
      <c r="E9" s="26">
        <f t="shared" si="0"/>
        <v>7566.3299999999872</v>
      </c>
      <c r="F9" s="26">
        <f t="shared" si="1"/>
        <v>7566.3299999999872</v>
      </c>
    </row>
    <row r="10" spans="1:6" ht="18.75">
      <c r="A10" s="11" t="s">
        <v>3</v>
      </c>
      <c r="B10" s="16">
        <v>2230</v>
      </c>
      <c r="C10" s="13">
        <f>94230+20000</f>
        <v>114230</v>
      </c>
      <c r="D10" s="13">
        <v>103684.33</v>
      </c>
      <c r="E10" s="26">
        <f t="shared" si="0"/>
        <v>10545.669999999998</v>
      </c>
      <c r="F10" s="26">
        <f t="shared" si="1"/>
        <v>10545.669999999998</v>
      </c>
    </row>
    <row r="11" spans="1:6" ht="18.75">
      <c r="A11" s="11" t="s">
        <v>4</v>
      </c>
      <c r="B11" s="16">
        <v>2240</v>
      </c>
      <c r="C11" s="13">
        <f>153769+16000+50000-10000</f>
        <v>209769</v>
      </c>
      <c r="D11" s="13">
        <v>168983.64</v>
      </c>
      <c r="E11" s="26">
        <f t="shared" si="0"/>
        <v>40785.359999999986</v>
      </c>
      <c r="F11" s="26">
        <f t="shared" si="1"/>
        <v>40785.359999999986</v>
      </c>
    </row>
    <row r="12" spans="1:6" ht="18.75">
      <c r="A12" s="11" t="s">
        <v>5</v>
      </c>
      <c r="B12" s="16">
        <v>2250</v>
      </c>
      <c r="C12" s="13">
        <f>961.13+2.33</f>
        <v>963.46</v>
      </c>
      <c r="D12" s="13">
        <v>961.13</v>
      </c>
      <c r="E12" s="26">
        <f t="shared" si="0"/>
        <v>2.3300000000000409</v>
      </c>
      <c r="F12" s="26">
        <f t="shared" si="1"/>
        <v>2.3300000000000409</v>
      </c>
    </row>
    <row r="13" spans="1:6" ht="18.75" hidden="1">
      <c r="A13" s="11" t="s">
        <v>6</v>
      </c>
      <c r="B13" s="16">
        <v>2271</v>
      </c>
      <c r="C13" s="13"/>
      <c r="D13" s="13"/>
      <c r="E13" s="26">
        <f t="shared" si="0"/>
        <v>0</v>
      </c>
      <c r="F13" s="26">
        <f t="shared" si="1"/>
        <v>0</v>
      </c>
    </row>
    <row r="14" spans="1:6" ht="37.5">
      <c r="A14" s="11" t="s">
        <v>7</v>
      </c>
      <c r="B14" s="16">
        <v>2272</v>
      </c>
      <c r="C14" s="13">
        <f>510</f>
        <v>510</v>
      </c>
      <c r="D14" s="13">
        <v>508</v>
      </c>
      <c r="E14" s="26">
        <f t="shared" si="0"/>
        <v>2</v>
      </c>
      <c r="F14" s="26">
        <f t="shared" si="1"/>
        <v>2</v>
      </c>
    </row>
    <row r="15" spans="1:6" ht="18.75">
      <c r="A15" s="11" t="s">
        <v>8</v>
      </c>
      <c r="B15" s="16">
        <v>2273</v>
      </c>
      <c r="C15" s="13">
        <v>118000</v>
      </c>
      <c r="D15" s="13">
        <v>92466.68</v>
      </c>
      <c r="E15" s="26">
        <f t="shared" si="0"/>
        <v>25533.320000000007</v>
      </c>
      <c r="F15" s="26">
        <f t="shared" si="1"/>
        <v>25533.320000000007</v>
      </c>
    </row>
    <row r="16" spans="1:6" ht="18.75" hidden="1">
      <c r="A16" s="11" t="s">
        <v>9</v>
      </c>
      <c r="B16" s="16">
        <v>2274</v>
      </c>
      <c r="C16" s="13"/>
      <c r="D16" s="13"/>
      <c r="E16" s="26">
        <f t="shared" si="0"/>
        <v>0</v>
      </c>
      <c r="F16" s="26">
        <f t="shared" si="1"/>
        <v>0</v>
      </c>
    </row>
    <row r="17" spans="1:8" ht="18.75">
      <c r="A17" s="11" t="s">
        <v>10</v>
      </c>
      <c r="B17" s="16">
        <v>2275</v>
      </c>
      <c r="C17" s="13">
        <f>11630+361300</f>
        <v>372930</v>
      </c>
      <c r="D17" s="13">
        <v>365800</v>
      </c>
      <c r="E17" s="26">
        <f t="shared" si="0"/>
        <v>7130</v>
      </c>
      <c r="F17" s="26">
        <f t="shared" si="1"/>
        <v>7130</v>
      </c>
    </row>
    <row r="18" spans="1:8" ht="36" customHeight="1">
      <c r="A18" s="11" t="s">
        <v>11</v>
      </c>
      <c r="B18" s="16">
        <v>2282</v>
      </c>
      <c r="C18" s="13">
        <f>6668-500-850-450-850-450-450-500-600</f>
        <v>2018</v>
      </c>
      <c r="D18" s="13">
        <v>2001.58</v>
      </c>
      <c r="E18" s="26">
        <f t="shared" si="0"/>
        <v>16.420000000000073</v>
      </c>
      <c r="F18" s="26">
        <f t="shared" si="1"/>
        <v>16.420000000000073</v>
      </c>
    </row>
    <row r="19" spans="1:8" ht="18" hidden="1" customHeight="1">
      <c r="A19" s="11" t="s">
        <v>14</v>
      </c>
      <c r="B19" s="16">
        <v>2730</v>
      </c>
      <c r="C19" s="13"/>
      <c r="D19" s="13"/>
      <c r="E19" s="26">
        <f t="shared" si="0"/>
        <v>0</v>
      </c>
      <c r="F19" s="26">
        <f t="shared" si="1"/>
        <v>0</v>
      </c>
    </row>
    <row r="20" spans="1:8" ht="15.75" customHeight="1">
      <c r="A20" s="11" t="s">
        <v>15</v>
      </c>
      <c r="B20" s="16">
        <v>2800</v>
      </c>
      <c r="C20" s="13">
        <f>9020-300-460-3100</f>
        <v>5160</v>
      </c>
      <c r="D20" s="13">
        <v>4890.2299999999996</v>
      </c>
      <c r="E20" s="26">
        <f t="shared" si="0"/>
        <v>269.77000000000044</v>
      </c>
      <c r="F20" s="26">
        <f t="shared" si="1"/>
        <v>269.77000000000044</v>
      </c>
    </row>
    <row r="21" spans="1:8" ht="36" customHeight="1">
      <c r="A21" s="11" t="s">
        <v>12</v>
      </c>
      <c r="B21" s="16">
        <v>3110</v>
      </c>
      <c r="C21" s="13">
        <f>57000+9800</f>
        <v>66800</v>
      </c>
      <c r="D21" s="13">
        <f>55875.82+9800</f>
        <v>65675.820000000007</v>
      </c>
      <c r="E21" s="26">
        <f t="shared" si="0"/>
        <v>1124.179999999993</v>
      </c>
      <c r="F21" s="26">
        <f t="shared" si="1"/>
        <v>1124.179999999993</v>
      </c>
      <c r="H21" s="38"/>
    </row>
    <row r="22" spans="1:8" ht="37.5" hidden="1">
      <c r="A22" s="11" t="s">
        <v>20</v>
      </c>
      <c r="B22" s="16">
        <v>3122</v>
      </c>
      <c r="C22" s="13"/>
      <c r="D22" s="13"/>
      <c r="E22" s="26">
        <f t="shared" si="0"/>
        <v>0</v>
      </c>
      <c r="F22" s="26">
        <f t="shared" si="1"/>
        <v>0</v>
      </c>
    </row>
    <row r="23" spans="1:8" ht="18.75" hidden="1">
      <c r="A23" s="11" t="s">
        <v>21</v>
      </c>
      <c r="B23" s="16">
        <v>3132</v>
      </c>
      <c r="C23" s="13"/>
      <c r="D23" s="13"/>
      <c r="E23" s="26">
        <f t="shared" si="0"/>
        <v>0</v>
      </c>
      <c r="F23" s="26">
        <f t="shared" si="1"/>
        <v>0</v>
      </c>
    </row>
    <row r="24" spans="1:8" ht="37.5" hidden="1">
      <c r="A24" s="32" t="s">
        <v>45</v>
      </c>
      <c r="B24" s="16">
        <v>3142</v>
      </c>
      <c r="C24" s="13"/>
      <c r="D24" s="13"/>
      <c r="E24" s="26">
        <f t="shared" si="0"/>
        <v>0</v>
      </c>
      <c r="F24" s="26">
        <f t="shared" si="1"/>
        <v>0</v>
      </c>
    </row>
    <row r="25" spans="1:8" ht="18.75">
      <c r="A25" s="11" t="s">
        <v>13</v>
      </c>
      <c r="B25" s="16"/>
      <c r="C25" s="14">
        <f>SUM(C7:C24)</f>
        <v>4351528.46</v>
      </c>
      <c r="D25" s="51">
        <f>SUM(D7:D24)</f>
        <v>4228885.47</v>
      </c>
      <c r="E25" s="26">
        <f t="shared" si="0"/>
        <v>122642.99000000022</v>
      </c>
      <c r="F25" s="26">
        <f t="shared" si="1"/>
        <v>122642.99000000022</v>
      </c>
    </row>
    <row r="26" spans="1:8">
      <c r="C26" s="4"/>
      <c r="D26" s="4"/>
    </row>
    <row r="27" spans="1:8" ht="28.5" hidden="1" customHeight="1">
      <c r="A27" s="61" t="s">
        <v>25</v>
      </c>
      <c r="B27" s="69"/>
      <c r="C27" s="69"/>
      <c r="D27" s="69"/>
    </row>
    <row r="28" spans="1:8" hidden="1">
      <c r="D28" s="30"/>
    </row>
    <row r="29" spans="1:8" ht="56.25" hidden="1">
      <c r="A29" s="15" t="s">
        <v>0</v>
      </c>
      <c r="B29" s="15" t="s">
        <v>1</v>
      </c>
      <c r="C29" s="10" t="s">
        <v>23</v>
      </c>
      <c r="D29" s="10" t="s">
        <v>18</v>
      </c>
    </row>
    <row r="30" spans="1:8" ht="37.5" hidden="1">
      <c r="A30" s="11" t="s">
        <v>2</v>
      </c>
      <c r="B30" s="17">
        <v>2210</v>
      </c>
      <c r="C30" s="37"/>
      <c r="D30" s="13"/>
      <c r="F30" s="26"/>
    </row>
    <row r="31" spans="1:8" ht="18.75" hidden="1">
      <c r="A31" s="12" t="s">
        <v>3</v>
      </c>
      <c r="B31" s="17">
        <v>2230</v>
      </c>
      <c r="C31" s="37"/>
      <c r="D31" s="13"/>
      <c r="F31" s="26"/>
    </row>
    <row r="32" spans="1:8" ht="18.75" hidden="1">
      <c r="A32" s="12" t="s">
        <v>4</v>
      </c>
      <c r="B32" s="17">
        <v>2240</v>
      </c>
      <c r="C32" s="55"/>
      <c r="D32" s="13"/>
      <c r="F32" s="26"/>
    </row>
    <row r="33" spans="1:6" ht="18.75" hidden="1">
      <c r="A33" s="11" t="s">
        <v>15</v>
      </c>
      <c r="B33" s="17">
        <v>2800</v>
      </c>
      <c r="C33" s="37"/>
      <c r="D33" s="13"/>
      <c r="F33" s="26"/>
    </row>
    <row r="34" spans="1:6" ht="18.75" hidden="1">
      <c r="A34" s="40" t="s">
        <v>10</v>
      </c>
      <c r="B34" s="17">
        <v>2275</v>
      </c>
      <c r="C34" s="37"/>
      <c r="D34" s="13"/>
      <c r="F34" s="26"/>
    </row>
    <row r="35" spans="1:6" ht="37.5" hidden="1">
      <c r="A35" s="11" t="s">
        <v>12</v>
      </c>
      <c r="B35" s="17">
        <v>3110</v>
      </c>
      <c r="C35" s="37"/>
      <c r="D35" s="13"/>
      <c r="F35" s="26"/>
    </row>
    <row r="36" spans="1:6" ht="18.75" hidden="1">
      <c r="A36" s="18" t="s">
        <v>16</v>
      </c>
      <c r="B36" s="19">
        <v>3132</v>
      </c>
      <c r="C36" s="49"/>
      <c r="D36" s="20"/>
      <c r="F36" s="26"/>
    </row>
    <row r="37" spans="1:6" ht="18.75" hidden="1">
      <c r="A37" s="11" t="s">
        <v>13</v>
      </c>
      <c r="B37" s="17"/>
      <c r="C37" s="14">
        <f>SUM(C30:C36)</f>
        <v>0</v>
      </c>
      <c r="D37" s="14">
        <f>SUM(D30:D36)</f>
        <v>0</v>
      </c>
      <c r="F37" s="26"/>
    </row>
    <row r="38" spans="1:6" ht="18.75" hidden="1">
      <c r="A38" s="43"/>
      <c r="B38" s="44"/>
      <c r="C38" s="45"/>
      <c r="D38" s="45"/>
      <c r="F38" s="26"/>
    </row>
    <row r="39" spans="1:6" hidden="1">
      <c r="A39" s="1"/>
      <c r="B39" s="5"/>
      <c r="C39" s="4"/>
      <c r="D39" s="4"/>
    </row>
    <row r="40" spans="1:6" hidden="1">
      <c r="A40" s="1"/>
      <c r="B40" s="5"/>
      <c r="C40" s="4"/>
      <c r="D40" s="4"/>
    </row>
    <row r="41" spans="1:6" ht="33.75" customHeight="1">
      <c r="A41" s="56" t="s">
        <v>26</v>
      </c>
      <c r="B41" s="56"/>
      <c r="C41" s="56"/>
      <c r="D41" s="56"/>
    </row>
    <row r="42" spans="1:6">
      <c r="A42" s="1"/>
      <c r="B42" s="5"/>
      <c r="C42" s="4"/>
      <c r="D42" s="4"/>
    </row>
    <row r="43" spans="1:6" ht="56.25">
      <c r="A43" s="46" t="s">
        <v>0</v>
      </c>
      <c r="B43" s="46" t="s">
        <v>1</v>
      </c>
      <c r="C43" s="10" t="s">
        <v>23</v>
      </c>
      <c r="D43" s="10" t="s">
        <v>18</v>
      </c>
    </row>
    <row r="44" spans="1:6" ht="37.5">
      <c r="A44" s="40" t="s">
        <v>2</v>
      </c>
      <c r="B44" s="17">
        <v>2210</v>
      </c>
      <c r="C44" s="37">
        <v>3102.29</v>
      </c>
      <c r="D44" s="37">
        <v>3102.29</v>
      </c>
      <c r="F44" s="26"/>
    </row>
    <row r="45" spans="1:6" ht="18.75">
      <c r="A45" s="12" t="s">
        <v>3</v>
      </c>
      <c r="B45" s="17">
        <v>2230</v>
      </c>
      <c r="C45" s="37">
        <v>25644.959999999999</v>
      </c>
      <c r="D45" s="37">
        <v>25644.959999999999</v>
      </c>
      <c r="F45" s="26"/>
    </row>
    <row r="46" spans="1:6" ht="18.75" hidden="1">
      <c r="A46" s="12" t="s">
        <v>4</v>
      </c>
      <c r="B46" s="17">
        <v>2240</v>
      </c>
      <c r="C46" s="37"/>
      <c r="D46" s="37"/>
      <c r="F46" s="26"/>
    </row>
    <row r="47" spans="1:6" ht="18.75" hidden="1">
      <c r="A47" s="12" t="s">
        <v>10</v>
      </c>
      <c r="B47" s="17">
        <v>2275</v>
      </c>
      <c r="C47" s="37"/>
      <c r="D47" s="37"/>
      <c r="F47" s="26"/>
    </row>
    <row r="48" spans="1:6" ht="18.75" hidden="1">
      <c r="A48" s="11" t="s">
        <v>15</v>
      </c>
      <c r="B48" s="17">
        <v>2800</v>
      </c>
      <c r="C48" s="37"/>
      <c r="D48" s="37"/>
      <c r="F48" s="26"/>
    </row>
    <row r="49" spans="1:6" ht="37.5">
      <c r="A49" s="11" t="s">
        <v>12</v>
      </c>
      <c r="B49" s="17">
        <v>3110</v>
      </c>
      <c r="C49" s="37">
        <v>11893.34</v>
      </c>
      <c r="D49" s="37">
        <v>11893.34</v>
      </c>
      <c r="F49" s="26"/>
    </row>
    <row r="50" spans="1:6" ht="18.75" hidden="1">
      <c r="A50" s="18" t="s">
        <v>16</v>
      </c>
      <c r="B50" s="19">
        <v>3132</v>
      </c>
      <c r="C50" s="20"/>
      <c r="D50" s="20"/>
      <c r="F50" s="26"/>
    </row>
    <row r="51" spans="1:6" ht="18.75">
      <c r="A51" s="11" t="s">
        <v>13</v>
      </c>
      <c r="B51" s="17"/>
      <c r="C51" s="14">
        <f>C44+C45+C48+C49+C50</f>
        <v>40640.589999999997</v>
      </c>
      <c r="D51" s="14">
        <f>D44+D45+D48+D49+D50</f>
        <v>40640.589999999997</v>
      </c>
      <c r="F51" s="26"/>
    </row>
    <row r="52" spans="1:6" ht="18.75">
      <c r="A52" s="43"/>
      <c r="B52" s="44"/>
      <c r="C52" s="45"/>
      <c r="D52" s="45"/>
      <c r="F52" s="26"/>
    </row>
    <row r="54" spans="1:6" ht="34.5" customHeight="1">
      <c r="A54" s="56" t="s">
        <v>69</v>
      </c>
      <c r="B54" s="57"/>
      <c r="C54" s="57"/>
      <c r="D54" s="57"/>
    </row>
    <row r="56" spans="1:6" ht="18.75">
      <c r="A56" s="58" t="s">
        <v>27</v>
      </c>
      <c r="B56" s="59"/>
      <c r="C56" s="60" t="s">
        <v>28</v>
      </c>
      <c r="D56" s="59"/>
    </row>
    <row r="57" spans="1:6" ht="18.75">
      <c r="A57" s="40" t="s">
        <v>39</v>
      </c>
      <c r="B57" s="35">
        <v>2210</v>
      </c>
      <c r="C57" s="72">
        <f>600+270+1350</f>
        <v>2220</v>
      </c>
      <c r="D57" s="72"/>
    </row>
    <row r="58" spans="1:6" ht="18.75" hidden="1">
      <c r="A58" s="40" t="s">
        <v>33</v>
      </c>
      <c r="B58" s="35">
        <v>2210</v>
      </c>
      <c r="C58" s="65"/>
      <c r="D58" s="66"/>
    </row>
    <row r="59" spans="1:6" ht="18.75" hidden="1">
      <c r="A59" s="40" t="s">
        <v>36</v>
      </c>
      <c r="B59" s="35">
        <v>2210</v>
      </c>
      <c r="C59" s="65"/>
      <c r="D59" s="66"/>
    </row>
    <row r="60" spans="1:6" ht="18.75" hidden="1">
      <c r="A60" s="40" t="s">
        <v>41</v>
      </c>
      <c r="B60" s="36">
        <v>3110.221</v>
      </c>
      <c r="C60" s="65"/>
      <c r="D60" s="66"/>
    </row>
    <row r="61" spans="1:6" ht="18.75" hidden="1">
      <c r="A61" s="40" t="s">
        <v>32</v>
      </c>
      <c r="B61" s="35">
        <v>2210</v>
      </c>
      <c r="C61" s="65"/>
      <c r="D61" s="66"/>
    </row>
    <row r="62" spans="1:6" ht="18.75" hidden="1">
      <c r="A62" s="40" t="s">
        <v>34</v>
      </c>
      <c r="B62" s="35">
        <v>2210</v>
      </c>
      <c r="C62" s="65"/>
      <c r="D62" s="66"/>
    </row>
    <row r="63" spans="1:6" ht="18.75" hidden="1">
      <c r="A63" s="40" t="s">
        <v>40</v>
      </c>
      <c r="B63" s="35">
        <v>2210</v>
      </c>
      <c r="C63" s="65"/>
      <c r="D63" s="66"/>
    </row>
    <row r="64" spans="1:6" ht="18.75">
      <c r="A64" s="40" t="s">
        <v>35</v>
      </c>
      <c r="B64" s="35">
        <v>3110</v>
      </c>
      <c r="C64" s="65">
        <v>11893.34</v>
      </c>
      <c r="D64" s="66"/>
    </row>
    <row r="65" spans="1:4" ht="18.75" hidden="1">
      <c r="A65" s="40" t="s">
        <v>37</v>
      </c>
      <c r="B65" s="35">
        <v>2210</v>
      </c>
      <c r="C65" s="65"/>
      <c r="D65" s="66"/>
    </row>
    <row r="66" spans="1:4" ht="18.75" hidden="1">
      <c r="A66" s="40" t="s">
        <v>38</v>
      </c>
      <c r="B66" s="35">
        <v>2210</v>
      </c>
      <c r="C66" s="65"/>
      <c r="D66" s="66"/>
    </row>
    <row r="67" spans="1:4" ht="18.75" hidden="1">
      <c r="A67" s="40" t="s">
        <v>50</v>
      </c>
      <c r="B67" s="35">
        <v>2240</v>
      </c>
      <c r="C67" s="65"/>
      <c r="D67" s="66"/>
    </row>
    <row r="68" spans="1:4" ht="18.75">
      <c r="A68" s="40" t="s">
        <v>42</v>
      </c>
      <c r="B68" s="35">
        <v>2230</v>
      </c>
      <c r="C68" s="65">
        <v>25644.959999999999</v>
      </c>
      <c r="D68" s="66"/>
    </row>
    <row r="69" spans="1:4" ht="18.75" hidden="1">
      <c r="A69" s="40" t="s">
        <v>43</v>
      </c>
      <c r="B69" s="35">
        <v>2210</v>
      </c>
      <c r="C69" s="65"/>
      <c r="D69" s="66"/>
    </row>
    <row r="70" spans="1:4" ht="18.75">
      <c r="A70" s="40" t="s">
        <v>49</v>
      </c>
      <c r="B70" s="35">
        <v>2210</v>
      </c>
      <c r="C70" s="65">
        <f>491.85+390.44</f>
        <v>882.29</v>
      </c>
      <c r="D70" s="66"/>
    </row>
    <row r="71" spans="1:4" ht="18.75" hidden="1">
      <c r="A71" s="40" t="s">
        <v>47</v>
      </c>
      <c r="B71" s="35">
        <v>2210</v>
      </c>
      <c r="C71" s="65"/>
      <c r="D71" s="66"/>
    </row>
    <row r="72" spans="1:4" ht="18.75" hidden="1">
      <c r="A72" s="40" t="s">
        <v>46</v>
      </c>
      <c r="B72" s="35">
        <v>2210</v>
      </c>
      <c r="C72" s="65"/>
      <c r="D72" s="66"/>
    </row>
    <row r="73" spans="1:4" ht="18.75" hidden="1">
      <c r="A73" s="40" t="s">
        <v>48</v>
      </c>
      <c r="B73" s="41">
        <v>2210</v>
      </c>
      <c r="C73" s="65"/>
      <c r="D73" s="66"/>
    </row>
    <row r="74" spans="1:4" ht="18.75">
      <c r="A74" s="63"/>
      <c r="B74" s="64"/>
      <c r="C74" s="65"/>
      <c r="D74" s="66"/>
    </row>
    <row r="75" spans="1:4" ht="18.75">
      <c r="A75" s="63"/>
      <c r="B75" s="64"/>
      <c r="C75" s="73">
        <f>SUM(C57:D74)</f>
        <v>40640.590000000004</v>
      </c>
      <c r="D75" s="74"/>
    </row>
  </sheetData>
  <mergeCells count="29">
    <mergeCell ref="A75:B75"/>
    <mergeCell ref="C75:D75"/>
    <mergeCell ref="C70:D70"/>
    <mergeCell ref="C71:D71"/>
    <mergeCell ref="C72:D72"/>
    <mergeCell ref="C73:D73"/>
    <mergeCell ref="A74:B74"/>
    <mergeCell ref="C74:D74"/>
    <mergeCell ref="C67:D67"/>
    <mergeCell ref="C63:D63"/>
    <mergeCell ref="C64:D64"/>
    <mergeCell ref="C68:D68"/>
    <mergeCell ref="C69:D69"/>
    <mergeCell ref="A56:B56"/>
    <mergeCell ref="C56:D56"/>
    <mergeCell ref="C57:D57"/>
    <mergeCell ref="C65:D65"/>
    <mergeCell ref="C66:D66"/>
    <mergeCell ref="C61:D61"/>
    <mergeCell ref="C62:D62"/>
    <mergeCell ref="C58:D58"/>
    <mergeCell ref="C59:D59"/>
    <mergeCell ref="C60:D60"/>
    <mergeCell ref="A2:D2"/>
    <mergeCell ref="A5:D5"/>
    <mergeCell ref="A27:D27"/>
    <mergeCell ref="A41:D41"/>
    <mergeCell ref="A54:D54"/>
    <mergeCell ref="A3:D3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75"/>
  <sheetViews>
    <sheetView workbookViewId="0">
      <selection activeCell="F1" sqref="F1:F1048576"/>
    </sheetView>
  </sheetViews>
  <sheetFormatPr defaultRowHeight="15"/>
  <cols>
    <col min="1" max="1" width="40.875" style="3" customWidth="1"/>
    <col min="2" max="2" width="9.875" style="1" customWidth="1"/>
    <col min="3" max="3" width="17.5" customWidth="1"/>
    <col min="4" max="4" width="15.5" customWidth="1"/>
    <col min="5" max="5" width="10.375" hidden="1" customWidth="1"/>
    <col min="6" max="6" width="11.875" hidden="1" customWidth="1"/>
  </cols>
  <sheetData>
    <row r="2" spans="1:6" ht="56.25" customHeight="1">
      <c r="A2" s="61" t="s">
        <v>68</v>
      </c>
      <c r="B2" s="62"/>
      <c r="C2" s="62"/>
      <c r="D2" s="62"/>
    </row>
    <row r="3" spans="1:6" ht="39" customHeight="1">
      <c r="A3" s="70" t="s">
        <v>60</v>
      </c>
      <c r="B3" s="71"/>
      <c r="C3" s="71"/>
      <c r="D3" s="71"/>
    </row>
    <row r="4" spans="1:6" ht="18.75">
      <c r="A4" s="6"/>
      <c r="B4" s="7"/>
      <c r="C4" s="8"/>
      <c r="D4" s="8"/>
    </row>
    <row r="5" spans="1:6" ht="41.25" customHeight="1">
      <c r="A5" s="67" t="s">
        <v>24</v>
      </c>
      <c r="B5" s="68"/>
      <c r="C5" s="68"/>
      <c r="D5" s="68"/>
    </row>
    <row r="6" spans="1:6" s="2" customFormat="1" ht="72" customHeight="1">
      <c r="A6" s="9" t="s">
        <v>0</v>
      </c>
      <c r="B6" s="9" t="s">
        <v>1</v>
      </c>
      <c r="C6" s="10" t="s">
        <v>23</v>
      </c>
      <c r="D6" s="10" t="s">
        <v>17</v>
      </c>
    </row>
    <row r="7" spans="1:6" s="2" customFormat="1" ht="18.75">
      <c r="A7" s="21" t="s">
        <v>22</v>
      </c>
      <c r="B7" s="16">
        <v>2111</v>
      </c>
      <c r="C7" s="23">
        <f>1758310+60000</f>
        <v>1818310</v>
      </c>
      <c r="D7" s="23">
        <v>1802062.86</v>
      </c>
      <c r="E7" s="26">
        <f>C7-D7</f>
        <v>16247.139999999898</v>
      </c>
      <c r="F7" s="26">
        <f>C7-D7</f>
        <v>16247.139999999898</v>
      </c>
    </row>
    <row r="8" spans="1:6" s="2" customFormat="1" ht="18.75">
      <c r="A8" s="21" t="s">
        <v>44</v>
      </c>
      <c r="B8" s="16">
        <v>2120</v>
      </c>
      <c r="C8" s="23">
        <v>385290</v>
      </c>
      <c r="D8" s="23">
        <v>379897.63</v>
      </c>
      <c r="E8" s="26">
        <f t="shared" ref="E8:E25" si="0">C8-D8</f>
        <v>5392.3699999999953</v>
      </c>
      <c r="F8" s="26">
        <f t="shared" ref="F8:F25" si="1">C8-D8</f>
        <v>5392.3699999999953</v>
      </c>
    </row>
    <row r="9" spans="1:6" ht="37.5">
      <c r="A9" s="11" t="s">
        <v>2</v>
      </c>
      <c r="B9" s="16">
        <v>2210</v>
      </c>
      <c r="C9" s="13">
        <f>12770+16660+75000-3050</f>
        <v>101380</v>
      </c>
      <c r="D9" s="13">
        <f>5204.5+93731.44</f>
        <v>98935.94</v>
      </c>
      <c r="E9" s="26">
        <f t="shared" si="0"/>
        <v>2444.0599999999977</v>
      </c>
      <c r="F9" s="26">
        <f t="shared" si="1"/>
        <v>2444.0599999999977</v>
      </c>
    </row>
    <row r="10" spans="1:6" ht="18.75">
      <c r="A10" s="11" t="s">
        <v>3</v>
      </c>
      <c r="B10" s="16">
        <v>2230</v>
      </c>
      <c r="C10" s="13">
        <f>117080-20000-20000-50000</f>
        <v>27080</v>
      </c>
      <c r="D10" s="13"/>
      <c r="E10" s="26">
        <f t="shared" si="0"/>
        <v>27080</v>
      </c>
      <c r="F10" s="26">
        <f t="shared" si="1"/>
        <v>27080</v>
      </c>
    </row>
    <row r="11" spans="1:6" ht="18.75">
      <c r="A11" s="11" t="s">
        <v>4</v>
      </c>
      <c r="B11" s="16">
        <v>2240</v>
      </c>
      <c r="C11" s="13">
        <v>57080</v>
      </c>
      <c r="D11" s="13">
        <v>30113.75</v>
      </c>
      <c r="E11" s="26">
        <f t="shared" si="0"/>
        <v>26966.25</v>
      </c>
      <c r="F11" s="26">
        <f t="shared" si="1"/>
        <v>26966.25</v>
      </c>
    </row>
    <row r="12" spans="1:6" ht="18.75">
      <c r="A12" s="11" t="s">
        <v>5</v>
      </c>
      <c r="B12" s="16">
        <v>2250</v>
      </c>
      <c r="C12" s="13">
        <v>840</v>
      </c>
      <c r="D12" s="13">
        <v>840</v>
      </c>
      <c r="E12" s="26">
        <f t="shared" si="0"/>
        <v>0</v>
      </c>
      <c r="F12" s="26">
        <f t="shared" si="1"/>
        <v>0</v>
      </c>
    </row>
    <row r="13" spans="1:6" ht="18.75" hidden="1">
      <c r="A13" s="11" t="s">
        <v>6</v>
      </c>
      <c r="B13" s="16">
        <v>2271</v>
      </c>
      <c r="C13" s="13"/>
      <c r="D13" s="13"/>
      <c r="E13" s="26">
        <f t="shared" si="0"/>
        <v>0</v>
      </c>
      <c r="F13" s="26">
        <f t="shared" si="1"/>
        <v>0</v>
      </c>
    </row>
    <row r="14" spans="1:6" ht="37.5" hidden="1">
      <c r="A14" s="11" t="s">
        <v>7</v>
      </c>
      <c r="B14" s="16">
        <v>2272</v>
      </c>
      <c r="C14" s="13"/>
      <c r="D14" s="13"/>
      <c r="E14" s="26">
        <f t="shared" si="0"/>
        <v>0</v>
      </c>
      <c r="F14" s="26">
        <f t="shared" si="1"/>
        <v>0</v>
      </c>
    </row>
    <row r="15" spans="1:6" ht="18.75">
      <c r="A15" s="11" t="s">
        <v>8</v>
      </c>
      <c r="B15" s="16">
        <v>2273</v>
      </c>
      <c r="C15" s="13">
        <f>21560+3000</f>
        <v>24560</v>
      </c>
      <c r="D15" s="13">
        <v>24188.86</v>
      </c>
      <c r="E15" s="26">
        <f t="shared" si="0"/>
        <v>371.13999999999942</v>
      </c>
      <c r="F15" s="26">
        <f t="shared" si="1"/>
        <v>371.13999999999942</v>
      </c>
    </row>
    <row r="16" spans="1:6" ht="18.75" hidden="1">
      <c r="A16" s="11" t="s">
        <v>9</v>
      </c>
      <c r="B16" s="16">
        <v>2274</v>
      </c>
      <c r="C16" s="13"/>
      <c r="D16" s="13"/>
      <c r="E16" s="26">
        <f t="shared" si="0"/>
        <v>0</v>
      </c>
      <c r="F16" s="26">
        <f t="shared" si="1"/>
        <v>0</v>
      </c>
    </row>
    <row r="17" spans="1:9" ht="18.75">
      <c r="A17" s="11" t="s">
        <v>10</v>
      </c>
      <c r="B17" s="16">
        <v>2275</v>
      </c>
      <c r="C17" s="13">
        <f>164850+82000</f>
        <v>246850</v>
      </c>
      <c r="D17" s="13">
        <v>245950</v>
      </c>
      <c r="E17" s="26">
        <f t="shared" si="0"/>
        <v>900</v>
      </c>
      <c r="F17" s="26">
        <f t="shared" si="1"/>
        <v>900</v>
      </c>
    </row>
    <row r="18" spans="1:9" ht="36.75" customHeight="1">
      <c r="A18" s="11" t="s">
        <v>11</v>
      </c>
      <c r="B18" s="16">
        <v>2282</v>
      </c>
      <c r="C18" s="13">
        <f>1600+450</f>
        <v>2050</v>
      </c>
      <c r="D18" s="13">
        <v>2001.58</v>
      </c>
      <c r="E18" s="26">
        <f t="shared" si="0"/>
        <v>48.420000000000073</v>
      </c>
      <c r="F18" s="26">
        <f t="shared" si="1"/>
        <v>48.420000000000073</v>
      </c>
    </row>
    <row r="19" spans="1:9" ht="18" hidden="1" customHeight="1">
      <c r="A19" s="11" t="s">
        <v>14</v>
      </c>
      <c r="B19" s="16">
        <v>2730</v>
      </c>
      <c r="C19" s="13"/>
      <c r="D19" s="13"/>
      <c r="E19" s="26">
        <f t="shared" si="0"/>
        <v>0</v>
      </c>
      <c r="F19" s="26">
        <f t="shared" si="1"/>
        <v>0</v>
      </c>
    </row>
    <row r="20" spans="1:9" ht="15.75" customHeight="1">
      <c r="A20" s="11" t="s">
        <v>15</v>
      </c>
      <c r="B20" s="16">
        <v>2800</v>
      </c>
      <c r="C20" s="13">
        <f>3160+1100</f>
        <v>4260</v>
      </c>
      <c r="D20" s="13">
        <v>4254.7700000000004</v>
      </c>
      <c r="E20" s="26">
        <f t="shared" si="0"/>
        <v>5.2299999999995634</v>
      </c>
      <c r="F20" s="26">
        <f t="shared" si="1"/>
        <v>5.2299999999995634</v>
      </c>
    </row>
    <row r="21" spans="1:9" ht="38.25" customHeight="1">
      <c r="A21" s="11" t="s">
        <v>12</v>
      </c>
      <c r="B21" s="16">
        <v>3110</v>
      </c>
      <c r="C21" s="13">
        <f>1856000+14000</f>
        <v>1870000</v>
      </c>
      <c r="D21" s="13">
        <f>1855875.82+14000</f>
        <v>1869875.82</v>
      </c>
      <c r="E21" s="26">
        <f t="shared" si="0"/>
        <v>124.17999999993481</v>
      </c>
      <c r="F21" s="26">
        <f t="shared" si="1"/>
        <v>124.17999999993481</v>
      </c>
    </row>
    <row r="22" spans="1:9" ht="37.5" hidden="1">
      <c r="A22" s="11" t="s">
        <v>20</v>
      </c>
      <c r="B22" s="16">
        <v>3122</v>
      </c>
      <c r="C22" s="13"/>
      <c r="D22" s="13"/>
      <c r="E22" s="26">
        <f t="shared" si="0"/>
        <v>0</v>
      </c>
      <c r="F22" s="26">
        <f t="shared" si="1"/>
        <v>0</v>
      </c>
      <c r="I22" t="s">
        <v>19</v>
      </c>
    </row>
    <row r="23" spans="1:9" ht="18.75" hidden="1">
      <c r="A23" s="11" t="s">
        <v>21</v>
      </c>
      <c r="B23" s="16">
        <v>3132</v>
      </c>
      <c r="C23" s="13"/>
      <c r="D23" s="13"/>
      <c r="E23" s="26">
        <f t="shared" si="0"/>
        <v>0</v>
      </c>
      <c r="F23" s="26">
        <f t="shared" si="1"/>
        <v>0</v>
      </c>
    </row>
    <row r="24" spans="1:9" ht="37.5" hidden="1">
      <c r="A24" s="32" t="s">
        <v>45</v>
      </c>
      <c r="B24" s="16">
        <v>3142</v>
      </c>
      <c r="C24" s="13"/>
      <c r="D24" s="13"/>
      <c r="E24" s="26">
        <f t="shared" si="0"/>
        <v>0</v>
      </c>
      <c r="F24" s="26">
        <f t="shared" si="1"/>
        <v>0</v>
      </c>
    </row>
    <row r="25" spans="1:9" ht="18.75">
      <c r="A25" s="11" t="s">
        <v>13</v>
      </c>
      <c r="B25" s="16"/>
      <c r="C25" s="14">
        <f>SUM(C7:C24)</f>
        <v>4537700</v>
      </c>
      <c r="D25" s="14">
        <f>SUM(D7:D24)</f>
        <v>4458121.21</v>
      </c>
      <c r="E25" s="26">
        <f t="shared" si="0"/>
        <v>79578.790000000037</v>
      </c>
      <c r="F25" s="26">
        <f t="shared" si="1"/>
        <v>79578.790000000037</v>
      </c>
    </row>
    <row r="26" spans="1:9" ht="18.75">
      <c r="A26" s="6"/>
      <c r="B26" s="7"/>
      <c r="C26" s="8"/>
      <c r="D26" s="8"/>
    </row>
    <row r="27" spans="1:9" ht="33.75" hidden="1" customHeight="1">
      <c r="A27" s="61" t="s">
        <v>25</v>
      </c>
      <c r="B27" s="69"/>
      <c r="C27" s="69"/>
      <c r="D27" s="69"/>
    </row>
    <row r="28" spans="1:9" ht="18.75" hidden="1">
      <c r="A28" s="27"/>
      <c r="B28" s="29"/>
      <c r="C28" s="29"/>
      <c r="D28" s="30"/>
    </row>
    <row r="29" spans="1:9" ht="75" hidden="1">
      <c r="A29" s="15" t="s">
        <v>0</v>
      </c>
      <c r="B29" s="15" t="s">
        <v>1</v>
      </c>
      <c r="C29" s="10" t="s">
        <v>23</v>
      </c>
      <c r="D29" s="10" t="s">
        <v>18</v>
      </c>
    </row>
    <row r="30" spans="1:9" ht="37.5" hidden="1">
      <c r="A30" s="11" t="s">
        <v>2</v>
      </c>
      <c r="B30" s="17">
        <v>2210</v>
      </c>
      <c r="C30" s="13"/>
      <c r="D30" s="13"/>
      <c r="F30" s="26"/>
    </row>
    <row r="31" spans="1:9" ht="18.75" hidden="1">
      <c r="A31" s="12" t="s">
        <v>3</v>
      </c>
      <c r="B31" s="17">
        <v>2230</v>
      </c>
      <c r="C31" s="13"/>
      <c r="D31" s="13"/>
      <c r="F31" s="26"/>
    </row>
    <row r="32" spans="1:9" ht="18.75" hidden="1">
      <c r="A32" s="12" t="s">
        <v>4</v>
      </c>
      <c r="B32" s="17">
        <v>2240</v>
      </c>
      <c r="C32" s="13"/>
      <c r="D32" s="13"/>
      <c r="F32" s="26"/>
    </row>
    <row r="33" spans="1:6" ht="18.75" hidden="1">
      <c r="A33" s="11" t="s">
        <v>15</v>
      </c>
      <c r="B33" s="17">
        <v>2800</v>
      </c>
      <c r="C33" s="13"/>
      <c r="D33" s="13"/>
      <c r="F33" s="26"/>
    </row>
    <row r="34" spans="1:6" ht="37.5" hidden="1">
      <c r="A34" s="11" t="s">
        <v>12</v>
      </c>
      <c r="B34" s="17">
        <v>3110</v>
      </c>
      <c r="C34" s="13"/>
      <c r="D34" s="13"/>
      <c r="F34" s="26"/>
    </row>
    <row r="35" spans="1:6" ht="18.75" hidden="1">
      <c r="A35" s="18" t="s">
        <v>16</v>
      </c>
      <c r="B35" s="19">
        <v>3132</v>
      </c>
      <c r="C35" s="20"/>
      <c r="D35" s="20"/>
      <c r="F35" s="26"/>
    </row>
    <row r="36" spans="1:6" ht="18.75" hidden="1">
      <c r="A36" s="11" t="s">
        <v>13</v>
      </c>
      <c r="B36" s="17"/>
      <c r="C36" s="14">
        <f>SUM(C30:C35)</f>
        <v>0</v>
      </c>
      <c r="D36" s="14">
        <f>SUM(D30:D35)</f>
        <v>0</v>
      </c>
      <c r="F36" s="26"/>
    </row>
    <row r="37" spans="1:6" hidden="1">
      <c r="A37" s="1"/>
      <c r="B37" s="5"/>
      <c r="C37" s="4"/>
      <c r="D37" s="4"/>
    </row>
    <row r="38" spans="1:6">
      <c r="A38" s="1"/>
      <c r="B38" s="5"/>
      <c r="C38" s="4"/>
      <c r="D38" s="4"/>
    </row>
    <row r="39" spans="1:6" ht="34.5" customHeight="1">
      <c r="A39" s="56" t="s">
        <v>26</v>
      </c>
      <c r="B39" s="57"/>
      <c r="C39" s="57"/>
      <c r="D39" s="57"/>
    </row>
    <row r="40" spans="1:6">
      <c r="A40" s="1"/>
      <c r="B40" s="5"/>
      <c r="C40" s="4"/>
      <c r="D40" s="4"/>
    </row>
    <row r="41" spans="1:6" ht="75">
      <c r="A41" s="15" t="s">
        <v>0</v>
      </c>
      <c r="B41" s="15" t="s">
        <v>1</v>
      </c>
      <c r="C41" s="10" t="s">
        <v>23</v>
      </c>
      <c r="D41" s="10" t="s">
        <v>18</v>
      </c>
    </row>
    <row r="42" spans="1:6" ht="37.5">
      <c r="A42" s="11" t="s">
        <v>2</v>
      </c>
      <c r="B42" s="17">
        <v>2210</v>
      </c>
      <c r="C42" s="37">
        <v>7681.44</v>
      </c>
      <c r="D42" s="37">
        <v>7681.44</v>
      </c>
      <c r="F42" s="26"/>
    </row>
    <row r="43" spans="1:6" ht="18.75">
      <c r="A43" s="12" t="s">
        <v>3</v>
      </c>
      <c r="B43" s="17">
        <v>2230</v>
      </c>
      <c r="C43" s="37">
        <v>87622</v>
      </c>
      <c r="D43" s="37">
        <f>C68</f>
        <v>87622</v>
      </c>
      <c r="F43" s="26"/>
    </row>
    <row r="44" spans="1:6" ht="18.75" hidden="1">
      <c r="A44" s="12" t="s">
        <v>4</v>
      </c>
      <c r="B44" s="17">
        <v>2240</v>
      </c>
      <c r="C44" s="52"/>
      <c r="D44" s="52"/>
      <c r="F44" s="26"/>
    </row>
    <row r="45" spans="1:6" ht="18.75" hidden="1">
      <c r="A45" s="40" t="s">
        <v>10</v>
      </c>
      <c r="B45" s="35">
        <v>2275</v>
      </c>
      <c r="C45" s="52"/>
      <c r="D45" s="52"/>
      <c r="F45" s="26"/>
    </row>
    <row r="46" spans="1:6" ht="18.75" hidden="1">
      <c r="A46" s="11" t="s">
        <v>15</v>
      </c>
      <c r="B46" s="17">
        <v>2800</v>
      </c>
      <c r="C46" s="52"/>
      <c r="D46" s="52"/>
      <c r="F46" s="26"/>
    </row>
    <row r="47" spans="1:6" ht="37.5">
      <c r="A47" s="11" t="s">
        <v>12</v>
      </c>
      <c r="B47" s="17">
        <v>3110</v>
      </c>
      <c r="C47" s="37">
        <v>19685.04</v>
      </c>
      <c r="D47" s="37">
        <v>19685.04</v>
      </c>
      <c r="F47" s="26"/>
    </row>
    <row r="48" spans="1:6" ht="18.75" hidden="1">
      <c r="A48" s="18" t="s">
        <v>16</v>
      </c>
      <c r="B48" s="19">
        <v>3132</v>
      </c>
      <c r="C48" s="13"/>
      <c r="D48" s="20"/>
      <c r="F48" s="26"/>
    </row>
    <row r="49" spans="1:6" ht="18.75">
      <c r="A49" s="11" t="s">
        <v>13</v>
      </c>
      <c r="B49" s="17"/>
      <c r="C49" s="14">
        <f>SUM(C42:C48)</f>
        <v>114988.48000000001</v>
      </c>
      <c r="D49" s="14">
        <f>SUM(D42:D48)</f>
        <v>114988.48000000001</v>
      </c>
      <c r="F49" s="26"/>
    </row>
    <row r="50" spans="1:6" ht="18.75">
      <c r="A50" s="43"/>
      <c r="B50" s="44"/>
      <c r="C50" s="45"/>
      <c r="D50" s="45"/>
      <c r="F50" s="26"/>
    </row>
    <row r="51" spans="1:6" ht="18.75">
      <c r="A51" s="43"/>
      <c r="B51" s="44"/>
      <c r="C51" s="45"/>
      <c r="D51" s="45"/>
      <c r="F51" s="26"/>
    </row>
    <row r="54" spans="1:6" ht="36" customHeight="1">
      <c r="A54" s="56" t="s">
        <v>69</v>
      </c>
      <c r="B54" s="57"/>
      <c r="C54" s="57"/>
      <c r="D54" s="57"/>
    </row>
    <row r="56" spans="1:6" ht="18.75">
      <c r="A56" s="58" t="s">
        <v>27</v>
      </c>
      <c r="B56" s="59"/>
      <c r="C56" s="60" t="s">
        <v>28</v>
      </c>
      <c r="D56" s="59"/>
    </row>
    <row r="57" spans="1:6" ht="18.75">
      <c r="A57" s="40" t="s">
        <v>39</v>
      </c>
      <c r="B57" s="35">
        <v>2210</v>
      </c>
      <c r="C57" s="72">
        <v>1008</v>
      </c>
      <c r="D57" s="72"/>
    </row>
    <row r="58" spans="1:6" ht="18.75" hidden="1">
      <c r="A58" s="40" t="s">
        <v>33</v>
      </c>
      <c r="B58" s="35">
        <v>2210</v>
      </c>
      <c r="C58" s="65"/>
      <c r="D58" s="66"/>
    </row>
    <row r="59" spans="1:6" ht="18.75">
      <c r="A59" s="40" t="s">
        <v>36</v>
      </c>
      <c r="B59" s="35">
        <v>2210</v>
      </c>
      <c r="C59" s="65">
        <v>5791.15</v>
      </c>
      <c r="D59" s="66"/>
    </row>
    <row r="60" spans="1:6" ht="18.75" hidden="1">
      <c r="A60" s="40" t="s">
        <v>41</v>
      </c>
      <c r="B60" s="36">
        <v>3110.221</v>
      </c>
      <c r="C60" s="65"/>
      <c r="D60" s="66"/>
    </row>
    <row r="61" spans="1:6" ht="18.75" hidden="1">
      <c r="A61" s="40" t="s">
        <v>32</v>
      </c>
      <c r="B61" s="35">
        <v>2210</v>
      </c>
      <c r="C61" s="65"/>
      <c r="D61" s="66"/>
    </row>
    <row r="62" spans="1:6" ht="18.75" hidden="1">
      <c r="A62" s="40" t="s">
        <v>34</v>
      </c>
      <c r="B62" s="35">
        <v>2210</v>
      </c>
      <c r="C62" s="65"/>
      <c r="D62" s="66"/>
    </row>
    <row r="63" spans="1:6" ht="18.75" hidden="1">
      <c r="A63" s="40" t="s">
        <v>40</v>
      </c>
      <c r="B63" s="35">
        <v>2210</v>
      </c>
      <c r="C63" s="65"/>
      <c r="D63" s="66"/>
    </row>
    <row r="64" spans="1:6" ht="18.75">
      <c r="A64" s="40" t="s">
        <v>35</v>
      </c>
      <c r="B64" s="35">
        <v>3110</v>
      </c>
      <c r="C64" s="65">
        <v>19685.04</v>
      </c>
      <c r="D64" s="66"/>
    </row>
    <row r="65" spans="1:4" ht="18.75" hidden="1">
      <c r="A65" s="40" t="s">
        <v>37</v>
      </c>
      <c r="B65" s="35">
        <v>2210</v>
      </c>
      <c r="C65" s="65"/>
      <c r="D65" s="66"/>
    </row>
    <row r="66" spans="1:4" ht="18.75" hidden="1">
      <c r="A66" s="40" t="s">
        <v>38</v>
      </c>
      <c r="B66" s="35">
        <v>2210</v>
      </c>
      <c r="C66" s="65"/>
      <c r="D66" s="66"/>
    </row>
    <row r="67" spans="1:4" ht="18.75" hidden="1">
      <c r="A67" s="40" t="s">
        <v>50</v>
      </c>
      <c r="B67" s="35">
        <v>2240</v>
      </c>
      <c r="C67" s="65"/>
      <c r="D67" s="66"/>
    </row>
    <row r="68" spans="1:4" ht="18.75">
      <c r="A68" s="40" t="s">
        <v>42</v>
      </c>
      <c r="B68" s="35">
        <v>2230</v>
      </c>
      <c r="C68" s="65">
        <v>87622</v>
      </c>
      <c r="D68" s="66"/>
    </row>
    <row r="69" spans="1:4" ht="18.75" hidden="1">
      <c r="A69" s="40" t="s">
        <v>43</v>
      </c>
      <c r="B69" s="35">
        <v>2210</v>
      </c>
      <c r="C69" s="65"/>
      <c r="D69" s="66"/>
    </row>
    <row r="70" spans="1:4" ht="18.75">
      <c r="A70" s="40" t="s">
        <v>49</v>
      </c>
      <c r="B70" s="35">
        <v>2210</v>
      </c>
      <c r="C70" s="65">
        <f>491.85+390.44</f>
        <v>882.29</v>
      </c>
      <c r="D70" s="66"/>
    </row>
    <row r="71" spans="1:4" ht="18.75" hidden="1">
      <c r="A71" s="40" t="s">
        <v>47</v>
      </c>
      <c r="B71" s="35">
        <v>2210</v>
      </c>
      <c r="C71" s="65"/>
      <c r="D71" s="66"/>
    </row>
    <row r="72" spans="1:4" ht="18.75" hidden="1">
      <c r="A72" s="40" t="s">
        <v>46</v>
      </c>
      <c r="B72" s="35">
        <v>2210</v>
      </c>
      <c r="C72" s="65"/>
      <c r="D72" s="66"/>
    </row>
    <row r="73" spans="1:4" ht="18.75" hidden="1">
      <c r="A73" s="40" t="s">
        <v>48</v>
      </c>
      <c r="B73" s="41">
        <v>2210</v>
      </c>
      <c r="C73" s="65"/>
      <c r="D73" s="66"/>
    </row>
    <row r="74" spans="1:4" ht="18.75">
      <c r="A74" s="63"/>
      <c r="B74" s="64"/>
      <c r="C74" s="65"/>
      <c r="D74" s="66"/>
    </row>
    <row r="75" spans="1:4" ht="18.75">
      <c r="A75" s="63"/>
      <c r="B75" s="64"/>
      <c r="C75" s="73">
        <f>SUM(C57:D74)</f>
        <v>114988.48</v>
      </c>
      <c r="D75" s="74"/>
    </row>
  </sheetData>
  <mergeCells count="29">
    <mergeCell ref="C68:D68"/>
    <mergeCell ref="C69:D69"/>
    <mergeCell ref="A75:B75"/>
    <mergeCell ref="C75:D75"/>
    <mergeCell ref="C70:D70"/>
    <mergeCell ref="C71:D71"/>
    <mergeCell ref="C72:D72"/>
    <mergeCell ref="C73:D73"/>
    <mergeCell ref="A74:B74"/>
    <mergeCell ref="C74:D74"/>
    <mergeCell ref="C63:D63"/>
    <mergeCell ref="C64:D64"/>
    <mergeCell ref="C65:D65"/>
    <mergeCell ref="C66:D66"/>
    <mergeCell ref="C67:D67"/>
    <mergeCell ref="A3:D3"/>
    <mergeCell ref="A2:D2"/>
    <mergeCell ref="A5:D5"/>
    <mergeCell ref="A27:D27"/>
    <mergeCell ref="A39:D39"/>
    <mergeCell ref="A54:D54"/>
    <mergeCell ref="C61:D61"/>
    <mergeCell ref="C62:D62"/>
    <mergeCell ref="C58:D58"/>
    <mergeCell ref="C59:D59"/>
    <mergeCell ref="C60:D60"/>
    <mergeCell ref="A56:B56"/>
    <mergeCell ref="C56:D56"/>
    <mergeCell ref="C57:D5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2:I75"/>
  <sheetViews>
    <sheetView workbookViewId="0">
      <selection activeCell="F8" sqref="F1:F1048576"/>
    </sheetView>
  </sheetViews>
  <sheetFormatPr defaultRowHeight="15"/>
  <cols>
    <col min="1" max="1" width="40.875" style="3" customWidth="1"/>
    <col min="2" max="2" width="9.75" style="1" customWidth="1"/>
    <col min="3" max="3" width="17.75" customWidth="1"/>
    <col min="4" max="4" width="15" customWidth="1"/>
    <col min="5" max="5" width="10.875" hidden="1" customWidth="1"/>
    <col min="6" max="6" width="10.75" hidden="1" customWidth="1"/>
  </cols>
  <sheetData>
    <row r="2" spans="1:7" ht="57" customHeight="1">
      <c r="A2" s="61" t="s">
        <v>68</v>
      </c>
      <c r="B2" s="62"/>
      <c r="C2" s="62"/>
      <c r="D2" s="62"/>
    </row>
    <row r="3" spans="1:7" ht="40.5" customHeight="1">
      <c r="A3" s="70" t="s">
        <v>51</v>
      </c>
      <c r="B3" s="71"/>
      <c r="C3" s="71"/>
      <c r="D3" s="71"/>
    </row>
    <row r="4" spans="1:7" ht="18.75">
      <c r="A4" s="6"/>
      <c r="B4" s="7"/>
      <c r="C4" s="8"/>
      <c r="D4" s="8"/>
    </row>
    <row r="5" spans="1:7" ht="45" customHeight="1">
      <c r="A5" s="67" t="s">
        <v>24</v>
      </c>
      <c r="B5" s="68"/>
      <c r="C5" s="68"/>
      <c r="D5" s="68"/>
    </row>
    <row r="6" spans="1:7" s="2" customFormat="1" ht="72.75" customHeight="1">
      <c r="A6" s="9" t="s">
        <v>0</v>
      </c>
      <c r="B6" s="9" t="s">
        <v>1</v>
      </c>
      <c r="C6" s="10" t="s">
        <v>23</v>
      </c>
      <c r="D6" s="10" t="s">
        <v>17</v>
      </c>
    </row>
    <row r="7" spans="1:7" s="2" customFormat="1" ht="18.75">
      <c r="A7" s="21" t="s">
        <v>22</v>
      </c>
      <c r="B7" s="16">
        <v>2111</v>
      </c>
      <c r="C7" s="23">
        <f>1870980+20000</f>
        <v>1890980</v>
      </c>
      <c r="D7" s="23">
        <v>1881623.95</v>
      </c>
      <c r="E7" s="26">
        <f>C7-D7</f>
        <v>9356.0500000000466</v>
      </c>
      <c r="F7" s="26">
        <f>C7-D7</f>
        <v>9356.0500000000466</v>
      </c>
    </row>
    <row r="8" spans="1:7" s="2" customFormat="1" ht="18.75">
      <c r="A8" s="21" t="s">
        <v>44</v>
      </c>
      <c r="B8" s="16">
        <v>2120</v>
      </c>
      <c r="C8" s="23">
        <f>411620+15000</f>
        <v>426620</v>
      </c>
      <c r="D8" s="23">
        <v>417233.09</v>
      </c>
      <c r="E8" s="26">
        <f t="shared" ref="E8:E25" si="0">C8-D8</f>
        <v>9386.9099999999744</v>
      </c>
      <c r="F8" s="26">
        <f t="shared" ref="F8:F25" si="1">C8-D8</f>
        <v>9386.9099999999744</v>
      </c>
    </row>
    <row r="9" spans="1:7" ht="37.5">
      <c r="A9" s="11" t="s">
        <v>2</v>
      </c>
      <c r="B9" s="16">
        <v>2210</v>
      </c>
      <c r="C9" s="13">
        <f>2250+4400+25000-5000-2000</f>
        <v>24650</v>
      </c>
      <c r="D9" s="13">
        <f>4715.5+18723.98</f>
        <v>23439.48</v>
      </c>
      <c r="E9" s="26">
        <f t="shared" si="0"/>
        <v>1210.5200000000004</v>
      </c>
      <c r="F9" s="26">
        <f t="shared" si="1"/>
        <v>1210.5200000000004</v>
      </c>
    </row>
    <row r="10" spans="1:7" ht="18.75">
      <c r="A10" s="11" t="s">
        <v>3</v>
      </c>
      <c r="B10" s="16">
        <v>2230</v>
      </c>
      <c r="C10" s="13">
        <f>67320-40000</f>
        <v>27320</v>
      </c>
      <c r="D10" s="13"/>
      <c r="E10" s="26">
        <f t="shared" si="0"/>
        <v>27320</v>
      </c>
      <c r="F10" s="26">
        <f t="shared" si="1"/>
        <v>27320</v>
      </c>
      <c r="G10" s="39"/>
    </row>
    <row r="11" spans="1:7" ht="18.75">
      <c r="A11" s="11" t="s">
        <v>4</v>
      </c>
      <c r="B11" s="16">
        <v>2240</v>
      </c>
      <c r="C11" s="13">
        <v>70770</v>
      </c>
      <c r="D11" s="13">
        <v>39194.46</v>
      </c>
      <c r="E11" s="26">
        <f t="shared" si="0"/>
        <v>31575.54</v>
      </c>
      <c r="F11" s="26">
        <f t="shared" si="1"/>
        <v>31575.54</v>
      </c>
    </row>
    <row r="12" spans="1:7" ht="18.75">
      <c r="A12" s="11" t="s">
        <v>5</v>
      </c>
      <c r="B12" s="16">
        <v>2250</v>
      </c>
      <c r="C12" s="13">
        <v>1666.94</v>
      </c>
      <c r="D12" s="13">
        <v>1666.94</v>
      </c>
      <c r="E12" s="26">
        <f t="shared" si="0"/>
        <v>0</v>
      </c>
      <c r="F12" s="26">
        <f t="shared" si="1"/>
        <v>0</v>
      </c>
    </row>
    <row r="13" spans="1:7" ht="18.75" hidden="1">
      <c r="A13" s="11" t="s">
        <v>6</v>
      </c>
      <c r="B13" s="16">
        <v>2271</v>
      </c>
      <c r="C13" s="13"/>
      <c r="D13" s="13"/>
      <c r="E13" s="26">
        <f t="shared" si="0"/>
        <v>0</v>
      </c>
      <c r="F13" s="26">
        <f t="shared" si="1"/>
        <v>0</v>
      </c>
    </row>
    <row r="14" spans="1:7" ht="37.5">
      <c r="A14" s="11" t="s">
        <v>7</v>
      </c>
      <c r="B14" s="16">
        <v>2272</v>
      </c>
      <c r="C14" s="13">
        <f>2090-180-550</f>
        <v>1360</v>
      </c>
      <c r="D14" s="13">
        <f>1258.76</f>
        <v>1258.76</v>
      </c>
      <c r="E14" s="26">
        <f t="shared" si="0"/>
        <v>101.24000000000001</v>
      </c>
      <c r="F14" s="26">
        <f t="shared" si="1"/>
        <v>101.24000000000001</v>
      </c>
    </row>
    <row r="15" spans="1:7" ht="18.75">
      <c r="A15" s="11" t="s">
        <v>8</v>
      </c>
      <c r="B15" s="16">
        <v>2273</v>
      </c>
      <c r="C15" s="13">
        <v>10650</v>
      </c>
      <c r="D15" s="13">
        <v>6122.54</v>
      </c>
      <c r="E15" s="26">
        <f t="shared" si="0"/>
        <v>4527.46</v>
      </c>
      <c r="F15" s="26">
        <f t="shared" si="1"/>
        <v>4527.46</v>
      </c>
    </row>
    <row r="16" spans="1:7" ht="18.75" hidden="1">
      <c r="A16" s="11" t="s">
        <v>9</v>
      </c>
      <c r="B16" s="16">
        <v>2274</v>
      </c>
      <c r="C16" s="13"/>
      <c r="D16" s="13"/>
      <c r="E16" s="26">
        <f t="shared" si="0"/>
        <v>0</v>
      </c>
      <c r="F16" s="26">
        <f t="shared" si="1"/>
        <v>0</v>
      </c>
    </row>
    <row r="17" spans="1:9" ht="18.75">
      <c r="A17" s="11" t="s">
        <v>10</v>
      </c>
      <c r="B17" s="16">
        <v>2275</v>
      </c>
      <c r="C17" s="13">
        <f>906690-82000-4000-259000-261000</f>
        <v>300690</v>
      </c>
      <c r="D17" s="13">
        <v>296000</v>
      </c>
      <c r="E17" s="26">
        <f t="shared" si="0"/>
        <v>4690</v>
      </c>
      <c r="F17" s="26">
        <f t="shared" si="1"/>
        <v>4690</v>
      </c>
    </row>
    <row r="18" spans="1:9" ht="34.5" customHeight="1">
      <c r="A18" s="11" t="s">
        <v>11</v>
      </c>
      <c r="B18" s="16">
        <v>2282</v>
      </c>
      <c r="C18" s="13">
        <f>1600+450</f>
        <v>2050</v>
      </c>
      <c r="D18" s="13">
        <v>2001.59</v>
      </c>
      <c r="E18" s="26">
        <f t="shared" si="0"/>
        <v>48.410000000000082</v>
      </c>
      <c r="F18" s="26">
        <f t="shared" si="1"/>
        <v>48.410000000000082</v>
      </c>
    </row>
    <row r="19" spans="1:9" ht="18" hidden="1" customHeight="1">
      <c r="A19" s="11" t="s">
        <v>14</v>
      </c>
      <c r="B19" s="16">
        <v>2730</v>
      </c>
      <c r="C19" s="13"/>
      <c r="D19" s="13"/>
      <c r="E19" s="26">
        <f t="shared" si="0"/>
        <v>0</v>
      </c>
      <c r="F19" s="26">
        <f t="shared" si="1"/>
        <v>0</v>
      </c>
    </row>
    <row r="20" spans="1:9" ht="15.75" customHeight="1">
      <c r="A20" s="11" t="s">
        <v>15</v>
      </c>
      <c r="B20" s="16">
        <v>2800</v>
      </c>
      <c r="C20" s="13">
        <f>3160+1510</f>
        <v>4670</v>
      </c>
      <c r="D20" s="13">
        <v>4660.55</v>
      </c>
      <c r="E20" s="26">
        <f t="shared" si="0"/>
        <v>9.4499999999998181</v>
      </c>
      <c r="F20" s="26">
        <f t="shared" si="1"/>
        <v>9.4499999999998181</v>
      </c>
    </row>
    <row r="21" spans="1:9" ht="38.25" customHeight="1">
      <c r="A21" s="11" t="s">
        <v>12</v>
      </c>
      <c r="B21" s="16">
        <v>3110</v>
      </c>
      <c r="C21" s="13">
        <f>116000+14000</f>
        <v>130000</v>
      </c>
      <c r="D21" s="13">
        <f>115875.83+14000</f>
        <v>129875.83</v>
      </c>
      <c r="E21" s="26">
        <f t="shared" si="0"/>
        <v>124.16999999999825</v>
      </c>
      <c r="F21" s="26">
        <f t="shared" si="1"/>
        <v>124.16999999999825</v>
      </c>
      <c r="H21" s="38"/>
    </row>
    <row r="22" spans="1:9" ht="37.5" hidden="1">
      <c r="A22" s="11" t="s">
        <v>20</v>
      </c>
      <c r="B22" s="16">
        <v>3122</v>
      </c>
      <c r="C22" s="13"/>
      <c r="D22" s="13"/>
      <c r="E22" s="26">
        <f t="shared" si="0"/>
        <v>0</v>
      </c>
      <c r="F22" s="26">
        <f t="shared" si="1"/>
        <v>0</v>
      </c>
      <c r="I22" t="s">
        <v>19</v>
      </c>
    </row>
    <row r="23" spans="1:9" ht="18.75">
      <c r="A23" s="11" t="s">
        <v>21</v>
      </c>
      <c r="B23" s="16">
        <v>3132</v>
      </c>
      <c r="C23" s="13">
        <v>178095</v>
      </c>
      <c r="D23" s="13">
        <v>178095</v>
      </c>
      <c r="E23" s="26">
        <f t="shared" si="0"/>
        <v>0</v>
      </c>
      <c r="F23" s="26">
        <f t="shared" si="1"/>
        <v>0</v>
      </c>
    </row>
    <row r="24" spans="1:9" ht="37.5" hidden="1">
      <c r="A24" s="32" t="s">
        <v>45</v>
      </c>
      <c r="B24" s="16">
        <v>3142</v>
      </c>
      <c r="C24" s="13"/>
      <c r="D24" s="13"/>
      <c r="E24" s="26">
        <f t="shared" si="0"/>
        <v>0</v>
      </c>
      <c r="F24" s="26">
        <f t="shared" si="1"/>
        <v>0</v>
      </c>
    </row>
    <row r="25" spans="1:9" ht="18.75">
      <c r="A25" s="11" t="s">
        <v>13</v>
      </c>
      <c r="B25" s="12"/>
      <c r="C25" s="14">
        <f>SUM(C7:C24)</f>
        <v>3069521.94</v>
      </c>
      <c r="D25" s="14">
        <f>SUM(D7:D24)</f>
        <v>2981172.1899999995</v>
      </c>
      <c r="E25" s="26">
        <f t="shared" si="0"/>
        <v>88349.750000000466</v>
      </c>
      <c r="F25" s="26">
        <f t="shared" si="1"/>
        <v>88349.750000000466</v>
      </c>
    </row>
    <row r="26" spans="1:9" ht="18.75">
      <c r="A26" s="6"/>
      <c r="B26" s="7"/>
      <c r="C26" s="8"/>
      <c r="D26" s="8"/>
    </row>
    <row r="27" spans="1:9" ht="30" hidden="1" customHeight="1">
      <c r="A27" s="61" t="s">
        <v>25</v>
      </c>
      <c r="B27" s="69"/>
      <c r="C27" s="69"/>
      <c r="D27" s="69"/>
    </row>
    <row r="28" spans="1:9" hidden="1">
      <c r="D28" s="30"/>
    </row>
    <row r="29" spans="1:9" ht="75" hidden="1">
      <c r="A29" s="15" t="s">
        <v>0</v>
      </c>
      <c r="B29" s="15" t="s">
        <v>1</v>
      </c>
      <c r="C29" s="10" t="s">
        <v>23</v>
      </c>
      <c r="D29" s="10" t="s">
        <v>18</v>
      </c>
    </row>
    <row r="30" spans="1:9" ht="37.5" hidden="1">
      <c r="A30" s="11" t="s">
        <v>2</v>
      </c>
      <c r="B30" s="17">
        <v>2210</v>
      </c>
      <c r="C30" s="13"/>
      <c r="D30" s="13"/>
      <c r="F30" s="26"/>
    </row>
    <row r="31" spans="1:9" ht="18.75" hidden="1">
      <c r="A31" s="12" t="s">
        <v>3</v>
      </c>
      <c r="B31" s="17">
        <v>2230</v>
      </c>
      <c r="C31" s="13"/>
      <c r="D31" s="13"/>
      <c r="F31" s="26"/>
    </row>
    <row r="32" spans="1:9" ht="18.75" hidden="1">
      <c r="A32" s="12" t="s">
        <v>4</v>
      </c>
      <c r="B32" s="17">
        <v>2240</v>
      </c>
      <c r="C32" s="13"/>
      <c r="D32" s="13"/>
      <c r="F32" s="26"/>
    </row>
    <row r="33" spans="1:6" ht="18.75" hidden="1">
      <c r="A33" s="11" t="s">
        <v>15</v>
      </c>
      <c r="B33" s="17">
        <v>2800</v>
      </c>
      <c r="C33" s="13"/>
      <c r="D33" s="13"/>
      <c r="F33" s="26"/>
    </row>
    <row r="34" spans="1:6" ht="37.5" hidden="1">
      <c r="A34" s="11" t="s">
        <v>12</v>
      </c>
      <c r="B34" s="17">
        <v>3110</v>
      </c>
      <c r="C34" s="13"/>
      <c r="D34" s="13"/>
      <c r="F34" s="26"/>
    </row>
    <row r="35" spans="1:6" ht="18.75" hidden="1">
      <c r="A35" s="18" t="s">
        <v>16</v>
      </c>
      <c r="B35" s="19">
        <v>3132</v>
      </c>
      <c r="C35" s="20"/>
      <c r="D35" s="20"/>
      <c r="F35" s="26"/>
    </row>
    <row r="36" spans="1:6" ht="18.75" hidden="1">
      <c r="A36" s="11" t="s">
        <v>13</v>
      </c>
      <c r="B36" s="17"/>
      <c r="C36" s="14">
        <f>SUM(C30:C35)</f>
        <v>0</v>
      </c>
      <c r="D36" s="14">
        <f>SUM(D30:D35)</f>
        <v>0</v>
      </c>
      <c r="F36" s="26"/>
    </row>
    <row r="37" spans="1:6" hidden="1">
      <c r="A37" s="1"/>
      <c r="B37" s="5"/>
      <c r="C37" s="4"/>
      <c r="D37" s="4"/>
    </row>
    <row r="38" spans="1:6">
      <c r="A38" s="1"/>
      <c r="B38" s="5"/>
      <c r="C38" s="4"/>
      <c r="D38" s="4"/>
    </row>
    <row r="39" spans="1:6" ht="36.75" customHeight="1">
      <c r="A39" s="56" t="s">
        <v>26</v>
      </c>
      <c r="B39" s="57"/>
      <c r="C39" s="57"/>
      <c r="D39" s="57"/>
    </row>
    <row r="40" spans="1:6">
      <c r="A40" s="1"/>
      <c r="B40" s="5"/>
      <c r="C40" s="4"/>
      <c r="D40" s="4"/>
    </row>
    <row r="41" spans="1:6" ht="75">
      <c r="A41" s="15" t="s">
        <v>0</v>
      </c>
      <c r="B41" s="15" t="s">
        <v>1</v>
      </c>
      <c r="C41" s="10" t="s">
        <v>23</v>
      </c>
      <c r="D41" s="10" t="s">
        <v>18</v>
      </c>
    </row>
    <row r="42" spans="1:6" ht="37.5">
      <c r="A42" s="11" t="s">
        <v>2</v>
      </c>
      <c r="B42" s="17">
        <v>2210</v>
      </c>
      <c r="C42" s="37">
        <v>2927.46</v>
      </c>
      <c r="D42" s="37">
        <v>2927.46</v>
      </c>
      <c r="F42" s="26"/>
    </row>
    <row r="43" spans="1:6" ht="18.75">
      <c r="A43" s="12" t="s">
        <v>3</v>
      </c>
      <c r="B43" s="17">
        <v>2230</v>
      </c>
      <c r="C43" s="37">
        <v>27004</v>
      </c>
      <c r="D43" s="37">
        <f>C68</f>
        <v>27004</v>
      </c>
      <c r="F43" s="26"/>
    </row>
    <row r="44" spans="1:6" ht="18.75" hidden="1">
      <c r="A44" s="12" t="s">
        <v>4</v>
      </c>
      <c r="B44" s="17">
        <v>2240</v>
      </c>
      <c r="C44" s="37"/>
      <c r="D44" s="37"/>
      <c r="F44" s="26"/>
    </row>
    <row r="45" spans="1:6" ht="18.75" hidden="1">
      <c r="A45" s="40" t="s">
        <v>10</v>
      </c>
      <c r="B45" s="35">
        <v>2275</v>
      </c>
      <c r="C45" s="37"/>
      <c r="D45" s="37"/>
      <c r="F45" s="26"/>
    </row>
    <row r="46" spans="1:6" ht="18.75" hidden="1">
      <c r="A46" s="11" t="s">
        <v>15</v>
      </c>
      <c r="B46" s="17">
        <v>2800</v>
      </c>
      <c r="C46" s="37"/>
      <c r="D46" s="37"/>
      <c r="F46" s="26"/>
    </row>
    <row r="47" spans="1:6" ht="37.5">
      <c r="A47" s="11" t="s">
        <v>12</v>
      </c>
      <c r="B47" s="17">
        <v>3110</v>
      </c>
      <c r="C47" s="37">
        <v>3029.92</v>
      </c>
      <c r="D47" s="37">
        <v>3029.92</v>
      </c>
      <c r="F47" s="26"/>
    </row>
    <row r="48" spans="1:6" ht="18.75" hidden="1">
      <c r="A48" s="18" t="s">
        <v>16</v>
      </c>
      <c r="B48" s="19">
        <v>3132</v>
      </c>
      <c r="C48" s="13"/>
      <c r="D48" s="20"/>
      <c r="F48" s="26"/>
    </row>
    <row r="49" spans="1:6" ht="18.75">
      <c r="A49" s="11" t="s">
        <v>13</v>
      </c>
      <c r="B49" s="17"/>
      <c r="C49" s="14">
        <f>SUM(C42:C48)</f>
        <v>32961.379999999997</v>
      </c>
      <c r="D49" s="14">
        <f>SUM(D42:D48)</f>
        <v>32961.379999999997</v>
      </c>
      <c r="F49" s="26"/>
    </row>
    <row r="50" spans="1:6" ht="18.75">
      <c r="A50" s="43"/>
      <c r="B50" s="44"/>
      <c r="C50" s="45"/>
      <c r="D50" s="45"/>
      <c r="F50" s="26"/>
    </row>
    <row r="51" spans="1:6" ht="18.75">
      <c r="A51" s="43"/>
      <c r="B51" s="44"/>
      <c r="C51" s="45"/>
      <c r="D51" s="45"/>
      <c r="F51" s="26"/>
    </row>
    <row r="54" spans="1:6" ht="34.5" customHeight="1">
      <c r="A54" s="56" t="s">
        <v>69</v>
      </c>
      <c r="B54" s="57"/>
      <c r="C54" s="57"/>
      <c r="D54" s="57"/>
    </row>
    <row r="56" spans="1:6" ht="18.75">
      <c r="A56" s="58" t="s">
        <v>27</v>
      </c>
      <c r="B56" s="59"/>
      <c r="C56" s="60" t="s">
        <v>28</v>
      </c>
      <c r="D56" s="59"/>
    </row>
    <row r="57" spans="1:6" ht="18.75" hidden="1">
      <c r="A57" s="40" t="s">
        <v>39</v>
      </c>
      <c r="B57" s="35">
        <v>2210</v>
      </c>
      <c r="C57" s="77"/>
      <c r="D57" s="77"/>
    </row>
    <row r="58" spans="1:6" ht="18.75" hidden="1">
      <c r="A58" s="40" t="s">
        <v>33</v>
      </c>
      <c r="B58" s="35">
        <v>2210</v>
      </c>
      <c r="C58" s="75"/>
      <c r="D58" s="76"/>
    </row>
    <row r="59" spans="1:6" ht="18.75">
      <c r="A59" s="40" t="s">
        <v>36</v>
      </c>
      <c r="B59" s="35">
        <v>2210</v>
      </c>
      <c r="C59" s="65">
        <v>1905.35</v>
      </c>
      <c r="D59" s="66"/>
    </row>
    <row r="60" spans="1:6" ht="18.75" hidden="1">
      <c r="A60" s="40" t="s">
        <v>41</v>
      </c>
      <c r="B60" s="36">
        <v>3110.221</v>
      </c>
      <c r="C60" s="65"/>
      <c r="D60" s="66"/>
    </row>
    <row r="61" spans="1:6" ht="18.75" hidden="1">
      <c r="A61" s="40" t="s">
        <v>32</v>
      </c>
      <c r="B61" s="35">
        <v>2210</v>
      </c>
      <c r="C61" s="65"/>
      <c r="D61" s="66"/>
    </row>
    <row r="62" spans="1:6" ht="18.75" hidden="1">
      <c r="A62" s="40" t="s">
        <v>34</v>
      </c>
      <c r="B62" s="35">
        <v>2210</v>
      </c>
      <c r="C62" s="65"/>
      <c r="D62" s="66"/>
    </row>
    <row r="63" spans="1:6" ht="18.75" hidden="1">
      <c r="A63" s="40" t="s">
        <v>40</v>
      </c>
      <c r="B63" s="35">
        <v>2210</v>
      </c>
      <c r="C63" s="65"/>
      <c r="D63" s="66"/>
    </row>
    <row r="64" spans="1:6" ht="18.75">
      <c r="A64" s="40" t="s">
        <v>35</v>
      </c>
      <c r="B64" s="35">
        <v>3110</v>
      </c>
      <c r="C64" s="65">
        <v>3029.92</v>
      </c>
      <c r="D64" s="66"/>
    </row>
    <row r="65" spans="1:4" ht="18.75" hidden="1">
      <c r="A65" s="40" t="s">
        <v>37</v>
      </c>
      <c r="B65" s="35">
        <v>2210</v>
      </c>
      <c r="C65" s="65"/>
      <c r="D65" s="66"/>
    </row>
    <row r="66" spans="1:4" ht="18.75" hidden="1">
      <c r="A66" s="40" t="s">
        <v>38</v>
      </c>
      <c r="B66" s="35">
        <v>2210</v>
      </c>
      <c r="C66" s="65"/>
      <c r="D66" s="66"/>
    </row>
    <row r="67" spans="1:4" ht="18.75" hidden="1">
      <c r="A67" s="40" t="s">
        <v>50</v>
      </c>
      <c r="B67" s="35">
        <v>2240</v>
      </c>
      <c r="C67" s="65"/>
      <c r="D67" s="66"/>
    </row>
    <row r="68" spans="1:4" ht="18.75">
      <c r="A68" s="40" t="s">
        <v>42</v>
      </c>
      <c r="B68" s="35">
        <v>2230</v>
      </c>
      <c r="C68" s="65">
        <v>27004</v>
      </c>
      <c r="D68" s="66"/>
    </row>
    <row r="69" spans="1:4" ht="18.75" hidden="1">
      <c r="A69" s="40" t="s">
        <v>43</v>
      </c>
      <c r="B69" s="35">
        <v>2210</v>
      </c>
      <c r="C69" s="78"/>
      <c r="D69" s="79"/>
    </row>
    <row r="70" spans="1:4" ht="18.75">
      <c r="A70" s="40" t="s">
        <v>49</v>
      </c>
      <c r="B70" s="35">
        <v>2210</v>
      </c>
      <c r="C70" s="65">
        <f>491.85+530.26</f>
        <v>1022.11</v>
      </c>
      <c r="D70" s="66"/>
    </row>
    <row r="71" spans="1:4" ht="18.75" hidden="1">
      <c r="A71" s="40" t="s">
        <v>47</v>
      </c>
      <c r="B71" s="35">
        <v>2210</v>
      </c>
      <c r="C71" s="65"/>
      <c r="D71" s="66"/>
    </row>
    <row r="72" spans="1:4" ht="18.75" hidden="1">
      <c r="A72" s="40" t="s">
        <v>46</v>
      </c>
      <c r="B72" s="35">
        <v>2210</v>
      </c>
      <c r="C72" s="65"/>
      <c r="D72" s="66"/>
    </row>
    <row r="73" spans="1:4" ht="18.75" hidden="1">
      <c r="A73" s="40" t="s">
        <v>48</v>
      </c>
      <c r="B73" s="41">
        <v>2210</v>
      </c>
      <c r="C73" s="65"/>
      <c r="D73" s="66"/>
    </row>
    <row r="74" spans="1:4" ht="18.75">
      <c r="A74" s="63"/>
      <c r="B74" s="64"/>
      <c r="C74" s="65"/>
      <c r="D74" s="66"/>
    </row>
    <row r="75" spans="1:4" ht="18.75">
      <c r="A75" s="63"/>
      <c r="B75" s="64"/>
      <c r="C75" s="73">
        <f>SUM(C57:D74)</f>
        <v>32961.379999999997</v>
      </c>
      <c r="D75" s="74"/>
    </row>
  </sheetData>
  <mergeCells count="29">
    <mergeCell ref="A75:B75"/>
    <mergeCell ref="C75:D75"/>
    <mergeCell ref="C71:D71"/>
    <mergeCell ref="C72:D72"/>
    <mergeCell ref="C73:D73"/>
    <mergeCell ref="A74:B74"/>
    <mergeCell ref="C74:D74"/>
    <mergeCell ref="C66:D66"/>
    <mergeCell ref="C67:D67"/>
    <mergeCell ref="C68:D68"/>
    <mergeCell ref="C69:D69"/>
    <mergeCell ref="C70:D70"/>
    <mergeCell ref="C61:D61"/>
    <mergeCell ref="C62:D62"/>
    <mergeCell ref="C63:D63"/>
    <mergeCell ref="C64:D64"/>
    <mergeCell ref="C65:D65"/>
    <mergeCell ref="A2:D2"/>
    <mergeCell ref="A5:D5"/>
    <mergeCell ref="A27:D27"/>
    <mergeCell ref="A39:D39"/>
    <mergeCell ref="A56:B56"/>
    <mergeCell ref="C56:D56"/>
    <mergeCell ref="A54:D54"/>
    <mergeCell ref="C58:D58"/>
    <mergeCell ref="C59:D59"/>
    <mergeCell ref="C60:D60"/>
    <mergeCell ref="A3:D3"/>
    <mergeCell ref="C57:D5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76"/>
  <sheetViews>
    <sheetView zoomScale="90" zoomScaleNormal="90" workbookViewId="0">
      <selection activeCell="A50" sqref="A50:XFD50"/>
    </sheetView>
  </sheetViews>
  <sheetFormatPr defaultRowHeight="15"/>
  <cols>
    <col min="1" max="1" width="40.875" style="3" customWidth="1"/>
    <col min="2" max="2" width="9.75" style="1" customWidth="1"/>
    <col min="3" max="3" width="17.125" customWidth="1"/>
    <col min="4" max="4" width="16.5" customWidth="1"/>
    <col min="5" max="5" width="9.5" hidden="1" customWidth="1"/>
    <col min="6" max="6" width="11" hidden="1" customWidth="1"/>
  </cols>
  <sheetData>
    <row r="2" spans="1:6" ht="57.75" customHeight="1">
      <c r="A2" s="61" t="s">
        <v>68</v>
      </c>
      <c r="B2" s="62"/>
      <c r="C2" s="62"/>
      <c r="D2" s="62"/>
    </row>
    <row r="3" spans="1:6" ht="38.25" customHeight="1">
      <c r="A3" s="70" t="s">
        <v>52</v>
      </c>
      <c r="B3" s="71"/>
      <c r="C3" s="71"/>
      <c r="D3" s="71"/>
    </row>
    <row r="4" spans="1:6" ht="18.75">
      <c r="A4" s="6"/>
      <c r="B4" s="7"/>
      <c r="C4" s="8"/>
      <c r="D4" s="8"/>
    </row>
    <row r="5" spans="1:6" ht="44.25" customHeight="1">
      <c r="A5" s="67" t="s">
        <v>24</v>
      </c>
      <c r="B5" s="68"/>
      <c r="C5" s="68"/>
      <c r="D5" s="68"/>
    </row>
    <row r="6" spans="1:6" s="2" customFormat="1" ht="73.5" customHeight="1">
      <c r="A6" s="9" t="s">
        <v>0</v>
      </c>
      <c r="B6" s="9" t="s">
        <v>1</v>
      </c>
      <c r="C6" s="10" t="s">
        <v>23</v>
      </c>
      <c r="D6" s="10" t="s">
        <v>17</v>
      </c>
    </row>
    <row r="7" spans="1:6" s="2" customFormat="1" ht="18.75">
      <c r="A7" s="21" t="s">
        <v>22</v>
      </c>
      <c r="B7" s="16">
        <v>2111</v>
      </c>
      <c r="C7" s="23">
        <v>2156280</v>
      </c>
      <c r="D7" s="23">
        <v>2066236.65</v>
      </c>
      <c r="E7" s="26">
        <f>C7-D7</f>
        <v>90043.350000000093</v>
      </c>
      <c r="F7" s="26">
        <f>C7-D7</f>
        <v>90043.350000000093</v>
      </c>
    </row>
    <row r="8" spans="1:6" s="2" customFormat="1" ht="18.75">
      <c r="A8" s="21" t="s">
        <v>44</v>
      </c>
      <c r="B8" s="16">
        <v>2120</v>
      </c>
      <c r="C8" s="23">
        <v>474380</v>
      </c>
      <c r="D8" s="23">
        <v>460305.7</v>
      </c>
      <c r="E8" s="26">
        <f t="shared" ref="E8:E25" si="0">C8-D8</f>
        <v>14074.299999999988</v>
      </c>
      <c r="F8" s="26">
        <f t="shared" ref="F8:F25" si="1">C8-D8</f>
        <v>14074.299999999988</v>
      </c>
    </row>
    <row r="9" spans="1:6" ht="37.5">
      <c r="A9" s="11" t="s">
        <v>2</v>
      </c>
      <c r="B9" s="16">
        <v>2210</v>
      </c>
      <c r="C9" s="13">
        <f>8470+6786+20000-3000</f>
        <v>32256</v>
      </c>
      <c r="D9" s="13">
        <f>4226.5+23727.74</f>
        <v>27954.240000000002</v>
      </c>
      <c r="E9" s="26">
        <f t="shared" si="0"/>
        <v>4301.7599999999984</v>
      </c>
      <c r="F9" s="26">
        <f t="shared" si="1"/>
        <v>4301.7599999999984</v>
      </c>
    </row>
    <row r="10" spans="1:6" ht="18.75">
      <c r="A10" s="11" t="s">
        <v>3</v>
      </c>
      <c r="B10" s="16">
        <v>2230</v>
      </c>
      <c r="C10" s="13">
        <v>70250</v>
      </c>
      <c r="D10" s="13">
        <v>65580.63</v>
      </c>
      <c r="E10" s="26">
        <f t="shared" si="0"/>
        <v>4669.3699999999953</v>
      </c>
      <c r="F10" s="26">
        <f t="shared" si="1"/>
        <v>4669.3699999999953</v>
      </c>
    </row>
    <row r="11" spans="1:6" ht="18.75">
      <c r="A11" s="11" t="s">
        <v>4</v>
      </c>
      <c r="B11" s="16">
        <v>2240</v>
      </c>
      <c r="C11" s="13">
        <f>24428+5000+6673.78</f>
        <v>36101.78</v>
      </c>
      <c r="D11" s="13">
        <v>24556.82</v>
      </c>
      <c r="E11" s="26">
        <f t="shared" si="0"/>
        <v>11544.96</v>
      </c>
      <c r="F11" s="26">
        <f t="shared" si="1"/>
        <v>11544.96</v>
      </c>
    </row>
    <row r="12" spans="1:6" ht="18.75">
      <c r="A12" s="11" t="s">
        <v>5</v>
      </c>
      <c r="B12" s="16">
        <v>2250</v>
      </c>
      <c r="C12" s="13">
        <v>900</v>
      </c>
      <c r="D12" s="13">
        <v>900</v>
      </c>
      <c r="E12" s="26">
        <f t="shared" si="0"/>
        <v>0</v>
      </c>
      <c r="F12" s="26">
        <f t="shared" si="1"/>
        <v>0</v>
      </c>
    </row>
    <row r="13" spans="1:6" ht="18.75" hidden="1">
      <c r="A13" s="11" t="s">
        <v>6</v>
      </c>
      <c r="B13" s="16">
        <v>2271</v>
      </c>
      <c r="C13" s="13"/>
      <c r="D13" s="13"/>
      <c r="E13" s="26">
        <f t="shared" si="0"/>
        <v>0</v>
      </c>
      <c r="F13" s="26">
        <f t="shared" si="1"/>
        <v>0</v>
      </c>
    </row>
    <row r="14" spans="1:6" ht="37.5" hidden="1">
      <c r="A14" s="11" t="s">
        <v>7</v>
      </c>
      <c r="B14" s="16">
        <v>2272</v>
      </c>
      <c r="C14" s="13"/>
      <c r="D14" s="13"/>
      <c r="E14" s="26">
        <f t="shared" si="0"/>
        <v>0</v>
      </c>
      <c r="F14" s="26">
        <f t="shared" si="1"/>
        <v>0</v>
      </c>
    </row>
    <row r="15" spans="1:6" ht="18.75">
      <c r="A15" s="11" t="s">
        <v>8</v>
      </c>
      <c r="B15" s="16">
        <v>2273</v>
      </c>
      <c r="C15" s="13">
        <v>45060</v>
      </c>
      <c r="D15" s="13">
        <v>38633.89</v>
      </c>
      <c r="E15" s="26">
        <f t="shared" si="0"/>
        <v>6426.1100000000006</v>
      </c>
      <c r="F15" s="26">
        <f t="shared" si="1"/>
        <v>6426.1100000000006</v>
      </c>
    </row>
    <row r="16" spans="1:6" ht="18.75" hidden="1">
      <c r="A16" s="11" t="s">
        <v>9</v>
      </c>
      <c r="B16" s="16">
        <v>2274</v>
      </c>
      <c r="C16" s="13"/>
      <c r="D16" s="13"/>
      <c r="E16" s="26">
        <f t="shared" si="0"/>
        <v>0</v>
      </c>
      <c r="F16" s="26">
        <f t="shared" si="1"/>
        <v>0</v>
      </c>
    </row>
    <row r="17" spans="1:9" ht="18.75">
      <c r="A17" s="11" t="s">
        <v>10</v>
      </c>
      <c r="B17" s="16">
        <v>2275</v>
      </c>
      <c r="C17" s="13">
        <f>362940+4000</f>
        <v>366940</v>
      </c>
      <c r="D17" s="13">
        <v>366891.93</v>
      </c>
      <c r="E17" s="26">
        <f t="shared" si="0"/>
        <v>48.070000000006985</v>
      </c>
      <c r="F17" s="26">
        <f t="shared" si="1"/>
        <v>48.070000000006985</v>
      </c>
    </row>
    <row r="18" spans="1:9" ht="33" customHeight="1">
      <c r="A18" s="11" t="s">
        <v>11</v>
      </c>
      <c r="B18" s="16">
        <v>2282</v>
      </c>
      <c r="C18" s="13">
        <f>1600+500</f>
        <v>2100</v>
      </c>
      <c r="D18" s="13">
        <v>2001.59</v>
      </c>
      <c r="E18" s="26">
        <f t="shared" si="0"/>
        <v>98.410000000000082</v>
      </c>
      <c r="F18" s="26">
        <f t="shared" si="1"/>
        <v>98.410000000000082</v>
      </c>
    </row>
    <row r="19" spans="1:9" ht="18" hidden="1" customHeight="1">
      <c r="A19" s="11" t="s">
        <v>14</v>
      </c>
      <c r="B19" s="16">
        <v>2730</v>
      </c>
      <c r="C19" s="13"/>
      <c r="D19" s="13"/>
      <c r="E19" s="26">
        <f t="shared" si="0"/>
        <v>0</v>
      </c>
      <c r="F19" s="26">
        <f t="shared" si="1"/>
        <v>0</v>
      </c>
    </row>
    <row r="20" spans="1:9" ht="15.75" customHeight="1">
      <c r="A20" s="11" t="s">
        <v>15</v>
      </c>
      <c r="B20" s="16">
        <v>2800</v>
      </c>
      <c r="C20" s="13">
        <f>4250+2500</f>
        <v>6750</v>
      </c>
      <c r="D20" s="13">
        <v>6284.58</v>
      </c>
      <c r="E20" s="26">
        <f t="shared" si="0"/>
        <v>465.42000000000007</v>
      </c>
      <c r="F20" s="26">
        <f t="shared" si="1"/>
        <v>465.42000000000007</v>
      </c>
    </row>
    <row r="21" spans="1:9" ht="36" customHeight="1">
      <c r="A21" s="11" t="s">
        <v>12</v>
      </c>
      <c r="B21" s="16">
        <v>3110</v>
      </c>
      <c r="C21" s="13">
        <f>49800+14000</f>
        <v>63800</v>
      </c>
      <c r="D21" s="13">
        <f>49800+14000</f>
        <v>63800</v>
      </c>
      <c r="E21" s="26">
        <f t="shared" si="0"/>
        <v>0</v>
      </c>
      <c r="F21" s="26">
        <f t="shared" si="1"/>
        <v>0</v>
      </c>
      <c r="H21" s="38"/>
    </row>
    <row r="22" spans="1:9" ht="37.5" hidden="1">
      <c r="A22" s="11" t="s">
        <v>20</v>
      </c>
      <c r="B22" s="16">
        <v>3122</v>
      </c>
      <c r="C22" s="13"/>
      <c r="D22" s="13"/>
      <c r="E22" s="26">
        <f t="shared" si="0"/>
        <v>0</v>
      </c>
      <c r="F22" s="26">
        <f t="shared" si="1"/>
        <v>0</v>
      </c>
      <c r="I22" t="s">
        <v>19</v>
      </c>
    </row>
    <row r="23" spans="1:9" ht="18.75" hidden="1">
      <c r="A23" s="11" t="s">
        <v>21</v>
      </c>
      <c r="B23" s="16">
        <v>3132</v>
      </c>
      <c r="C23" s="13"/>
      <c r="D23" s="13"/>
      <c r="E23" s="26">
        <f t="shared" si="0"/>
        <v>0</v>
      </c>
      <c r="F23" s="26">
        <f t="shared" si="1"/>
        <v>0</v>
      </c>
    </row>
    <row r="24" spans="1:9" ht="37.5" hidden="1">
      <c r="A24" s="32" t="s">
        <v>45</v>
      </c>
      <c r="B24" s="16">
        <v>3142</v>
      </c>
      <c r="C24" s="13"/>
      <c r="D24" s="13"/>
      <c r="E24" s="26">
        <f t="shared" si="0"/>
        <v>0</v>
      </c>
      <c r="F24" s="26">
        <f t="shared" si="1"/>
        <v>0</v>
      </c>
    </row>
    <row r="25" spans="1:9" ht="18.75">
      <c r="A25" s="11" t="s">
        <v>13</v>
      </c>
      <c r="B25" s="16"/>
      <c r="C25" s="14">
        <f>SUM(C7:C24)</f>
        <v>3254817.78</v>
      </c>
      <c r="D25" s="14">
        <f>SUM(D7:D24)</f>
        <v>3123146.0300000003</v>
      </c>
      <c r="E25" s="26">
        <f t="shared" si="0"/>
        <v>131671.74999999953</v>
      </c>
      <c r="F25" s="26">
        <f t="shared" si="1"/>
        <v>131671.74999999953</v>
      </c>
    </row>
    <row r="26" spans="1:9" ht="18.75">
      <c r="A26" s="6"/>
      <c r="B26" s="7"/>
      <c r="C26" s="8"/>
      <c r="D26" s="8"/>
    </row>
    <row r="27" spans="1:9" ht="18.75">
      <c r="A27" s="6"/>
      <c r="B27" s="7"/>
      <c r="C27" s="8"/>
      <c r="D27" s="8"/>
    </row>
    <row r="28" spans="1:9" ht="32.25" customHeight="1">
      <c r="A28" s="61" t="s">
        <v>25</v>
      </c>
      <c r="B28" s="69"/>
      <c r="C28" s="69"/>
      <c r="D28" s="69"/>
    </row>
    <row r="29" spans="1:9" ht="18.75">
      <c r="A29" s="27"/>
      <c r="B29" s="29"/>
      <c r="C29" s="29"/>
      <c r="D29" s="30"/>
    </row>
    <row r="30" spans="1:9" ht="75">
      <c r="A30" s="15" t="s">
        <v>0</v>
      </c>
      <c r="B30" s="15" t="s">
        <v>1</v>
      </c>
      <c r="C30" s="10"/>
      <c r="D30" s="10" t="s">
        <v>18</v>
      </c>
    </row>
    <row r="31" spans="1:9" ht="37.5">
      <c r="A31" s="11" t="s">
        <v>2</v>
      </c>
      <c r="B31" s="17">
        <v>2210</v>
      </c>
      <c r="C31" s="37">
        <f>8500+1300</f>
        <v>9800</v>
      </c>
      <c r="D31" s="13"/>
      <c r="F31" s="26"/>
    </row>
    <row r="32" spans="1:9" ht="18.75">
      <c r="A32" s="12" t="s">
        <v>3</v>
      </c>
      <c r="B32" s="17">
        <v>2230</v>
      </c>
      <c r="C32" s="13"/>
      <c r="D32" s="13"/>
      <c r="F32" s="26"/>
    </row>
    <row r="33" spans="1:6" ht="18.75">
      <c r="A33" s="12" t="s">
        <v>4</v>
      </c>
      <c r="B33" s="17">
        <v>2240</v>
      </c>
      <c r="C33" s="13"/>
      <c r="D33" s="13"/>
      <c r="F33" s="26"/>
    </row>
    <row r="34" spans="1:6" ht="18.75" hidden="1">
      <c r="A34" s="40" t="s">
        <v>10</v>
      </c>
      <c r="B34" s="35">
        <v>2275</v>
      </c>
      <c r="C34" s="13"/>
      <c r="D34" s="13"/>
      <c r="F34" s="26"/>
    </row>
    <row r="35" spans="1:6" ht="18.75" hidden="1">
      <c r="A35" s="11" t="s">
        <v>15</v>
      </c>
      <c r="B35" s="17">
        <v>2800</v>
      </c>
      <c r="C35" s="37"/>
      <c r="D35" s="13"/>
      <c r="F35" s="26"/>
    </row>
    <row r="36" spans="1:6" ht="37.5" hidden="1">
      <c r="A36" s="11" t="s">
        <v>12</v>
      </c>
      <c r="B36" s="17">
        <v>3110</v>
      </c>
      <c r="C36" s="13"/>
      <c r="D36" s="13"/>
      <c r="F36" s="26"/>
    </row>
    <row r="37" spans="1:6" ht="18.75" hidden="1">
      <c r="A37" s="18" t="s">
        <v>16</v>
      </c>
      <c r="B37" s="19">
        <v>3132</v>
      </c>
      <c r="C37" s="20"/>
      <c r="D37" s="20"/>
      <c r="F37" s="26"/>
    </row>
    <row r="38" spans="1:6" ht="18.75">
      <c r="A38" s="11" t="s">
        <v>13</v>
      </c>
      <c r="B38" s="17"/>
      <c r="C38" s="14">
        <f>SUM(C31:C37)</f>
        <v>9800</v>
      </c>
      <c r="D38" s="14">
        <f>SUM(D31:D37)</f>
        <v>0</v>
      </c>
      <c r="F38" s="26"/>
    </row>
    <row r="39" spans="1:6">
      <c r="A39" s="1"/>
      <c r="B39" s="5"/>
      <c r="C39" s="4"/>
      <c r="D39" s="4"/>
    </row>
    <row r="40" spans="1:6">
      <c r="A40" s="1"/>
      <c r="B40" s="5"/>
      <c r="C40" s="4"/>
      <c r="D40" s="4"/>
    </row>
    <row r="41" spans="1:6" ht="35.25" customHeight="1">
      <c r="A41" s="56" t="s">
        <v>26</v>
      </c>
      <c r="B41" s="57"/>
      <c r="C41" s="57"/>
      <c r="D41" s="57"/>
    </row>
    <row r="42" spans="1:6">
      <c r="A42" s="1"/>
      <c r="B42" s="5"/>
      <c r="C42" s="4"/>
      <c r="D42" s="4"/>
    </row>
    <row r="43" spans="1:6" ht="75">
      <c r="A43" s="15" t="s">
        <v>0</v>
      </c>
      <c r="B43" s="15" t="s">
        <v>1</v>
      </c>
      <c r="C43" s="10" t="s">
        <v>23</v>
      </c>
      <c r="D43" s="10" t="s">
        <v>18</v>
      </c>
    </row>
    <row r="44" spans="1:6" ht="37.5">
      <c r="A44" s="11" t="s">
        <v>2</v>
      </c>
      <c r="B44" s="17">
        <v>2210</v>
      </c>
      <c r="C44" s="13">
        <v>920.89</v>
      </c>
      <c r="D44" s="13">
        <v>920.89</v>
      </c>
      <c r="F44" s="26"/>
    </row>
    <row r="45" spans="1:6" ht="18.75">
      <c r="A45" s="12" t="s">
        <v>3</v>
      </c>
      <c r="B45" s="17">
        <v>2230</v>
      </c>
      <c r="C45" s="13">
        <v>13245.66</v>
      </c>
      <c r="D45" s="13">
        <v>13245.66</v>
      </c>
      <c r="F45" s="26"/>
    </row>
    <row r="46" spans="1:6" ht="18.75" hidden="1">
      <c r="A46" s="12" t="s">
        <v>4</v>
      </c>
      <c r="B46" s="17">
        <v>2240</v>
      </c>
      <c r="C46" s="13"/>
      <c r="D46" s="13"/>
      <c r="F46" s="26"/>
    </row>
    <row r="47" spans="1:6" ht="18.75" hidden="1">
      <c r="A47" s="40" t="s">
        <v>10</v>
      </c>
      <c r="B47" s="35">
        <v>2275</v>
      </c>
      <c r="C47" s="13"/>
      <c r="D47" s="13"/>
      <c r="F47" s="26"/>
    </row>
    <row r="48" spans="1:6" ht="18.75" hidden="1">
      <c r="A48" s="11" t="s">
        <v>15</v>
      </c>
      <c r="B48" s="17">
        <v>2800</v>
      </c>
      <c r="C48" s="13"/>
      <c r="D48" s="13"/>
      <c r="F48" s="26"/>
    </row>
    <row r="49" spans="1:6" ht="37.5">
      <c r="A49" s="11" t="s">
        <v>12</v>
      </c>
      <c r="B49" s="17">
        <v>3110</v>
      </c>
      <c r="C49" s="13">
        <v>3254.08</v>
      </c>
      <c r="D49" s="13">
        <v>3254.08</v>
      </c>
      <c r="F49" s="26"/>
    </row>
    <row r="50" spans="1:6" ht="18.75" hidden="1">
      <c r="A50" s="18" t="s">
        <v>16</v>
      </c>
      <c r="B50" s="19">
        <v>3132</v>
      </c>
      <c r="C50" s="20"/>
      <c r="D50" s="20"/>
      <c r="F50" s="26"/>
    </row>
    <row r="51" spans="1:6" ht="18.75">
      <c r="A51" s="11" t="s">
        <v>13</v>
      </c>
      <c r="B51" s="17"/>
      <c r="C51" s="14">
        <f>C44+C45+C48+C49+C50</f>
        <v>17420.629999999997</v>
      </c>
      <c r="D51" s="14">
        <f>D44+D45+D48+D49+D50</f>
        <v>17420.629999999997</v>
      </c>
      <c r="F51" s="26"/>
    </row>
    <row r="54" spans="1:6" ht="57.75" customHeight="1">
      <c r="A54" s="56" t="s">
        <v>67</v>
      </c>
      <c r="B54" s="80"/>
      <c r="C54" s="80"/>
      <c r="D54" s="80"/>
    </row>
    <row r="55" spans="1:6" ht="18" customHeight="1">
      <c r="A55" s="56"/>
      <c r="B55" s="57"/>
      <c r="C55" s="57"/>
      <c r="D55" s="57"/>
    </row>
    <row r="57" spans="1:6" ht="18.75">
      <c r="A57" s="58" t="s">
        <v>27</v>
      </c>
      <c r="B57" s="59"/>
      <c r="C57" s="60" t="s">
        <v>28</v>
      </c>
      <c r="D57" s="59"/>
    </row>
    <row r="58" spans="1:6" ht="18.75" hidden="1">
      <c r="A58" s="40" t="s">
        <v>39</v>
      </c>
      <c r="B58" s="35">
        <v>2210</v>
      </c>
      <c r="C58" s="77"/>
      <c r="D58" s="77"/>
    </row>
    <row r="59" spans="1:6" ht="18.75" hidden="1">
      <c r="A59" s="40" t="s">
        <v>33</v>
      </c>
      <c r="B59" s="35">
        <v>2210</v>
      </c>
      <c r="C59" s="75"/>
      <c r="D59" s="76"/>
    </row>
    <row r="60" spans="1:6" ht="18.75" hidden="1">
      <c r="A60" s="40" t="s">
        <v>36</v>
      </c>
      <c r="B60" s="35">
        <v>2210</v>
      </c>
      <c r="C60" s="75"/>
      <c r="D60" s="76"/>
    </row>
    <row r="61" spans="1:6" ht="18.75" hidden="1">
      <c r="A61" s="40" t="s">
        <v>41</v>
      </c>
      <c r="B61" s="36">
        <v>3110.221</v>
      </c>
      <c r="C61" s="65"/>
      <c r="D61" s="66"/>
    </row>
    <row r="62" spans="1:6" ht="18.75" hidden="1">
      <c r="A62" s="40" t="s">
        <v>32</v>
      </c>
      <c r="B62" s="35">
        <v>2210</v>
      </c>
      <c r="C62" s="75"/>
      <c r="D62" s="76"/>
    </row>
    <row r="63" spans="1:6" ht="18.75" hidden="1">
      <c r="A63" s="40" t="s">
        <v>34</v>
      </c>
      <c r="B63" s="35">
        <v>2210</v>
      </c>
      <c r="C63" s="75"/>
      <c r="D63" s="76"/>
    </row>
    <row r="64" spans="1:6" ht="18.75" hidden="1">
      <c r="A64" s="40" t="s">
        <v>40</v>
      </c>
      <c r="B64" s="35">
        <v>2210</v>
      </c>
      <c r="C64" s="75"/>
      <c r="D64" s="76"/>
    </row>
    <row r="65" spans="1:4" ht="18.75">
      <c r="A65" s="40" t="s">
        <v>35</v>
      </c>
      <c r="B65" s="35">
        <v>3110</v>
      </c>
      <c r="C65" s="65">
        <v>3254.08</v>
      </c>
      <c r="D65" s="66"/>
    </row>
    <row r="66" spans="1:4" ht="18.75" hidden="1">
      <c r="A66" s="40" t="s">
        <v>37</v>
      </c>
      <c r="B66" s="35">
        <v>2210</v>
      </c>
      <c r="C66" s="65"/>
      <c r="D66" s="66"/>
    </row>
    <row r="67" spans="1:4" ht="18.75" hidden="1">
      <c r="A67" s="40" t="s">
        <v>38</v>
      </c>
      <c r="B67" s="35">
        <v>2210</v>
      </c>
      <c r="C67" s="65"/>
      <c r="D67" s="66"/>
    </row>
    <row r="68" spans="1:4" ht="18.75" hidden="1">
      <c r="A68" s="40" t="s">
        <v>50</v>
      </c>
      <c r="B68" s="35">
        <v>2240</v>
      </c>
      <c r="C68" s="65"/>
      <c r="D68" s="66"/>
    </row>
    <row r="69" spans="1:4" ht="18.75">
      <c r="A69" s="40" t="s">
        <v>42</v>
      </c>
      <c r="B69" s="35">
        <v>2230</v>
      </c>
      <c r="C69" s="65">
        <v>13245.66</v>
      </c>
      <c r="D69" s="66"/>
    </row>
    <row r="70" spans="1:4" ht="18.75" hidden="1">
      <c r="A70" s="40" t="s">
        <v>43</v>
      </c>
      <c r="B70" s="35">
        <v>2210</v>
      </c>
      <c r="C70" s="65"/>
      <c r="D70" s="66"/>
    </row>
    <row r="71" spans="1:4" ht="18.75">
      <c r="A71" s="40" t="s">
        <v>49</v>
      </c>
      <c r="B71" s="35">
        <v>2210</v>
      </c>
      <c r="C71" s="65">
        <v>920.89</v>
      </c>
      <c r="D71" s="66"/>
    </row>
    <row r="72" spans="1:4" ht="18.75" hidden="1">
      <c r="A72" s="40" t="s">
        <v>47</v>
      </c>
      <c r="B72" s="35">
        <v>2210</v>
      </c>
      <c r="C72" s="65"/>
      <c r="D72" s="66"/>
    </row>
    <row r="73" spans="1:4" ht="18.75" hidden="1">
      <c r="A73" s="40" t="s">
        <v>46</v>
      </c>
      <c r="B73" s="35">
        <v>2210</v>
      </c>
      <c r="C73" s="65"/>
      <c r="D73" s="66"/>
    </row>
    <row r="74" spans="1:4" ht="18.75" hidden="1">
      <c r="A74" s="40" t="s">
        <v>48</v>
      </c>
      <c r="B74" s="41">
        <v>2210</v>
      </c>
      <c r="C74" s="65"/>
      <c r="D74" s="66"/>
    </row>
    <row r="75" spans="1:4" ht="18.75">
      <c r="A75" s="63"/>
      <c r="B75" s="64"/>
      <c r="C75" s="65"/>
      <c r="D75" s="66"/>
    </row>
    <row r="76" spans="1:4" ht="18.75">
      <c r="A76" s="63"/>
      <c r="B76" s="64"/>
      <c r="C76" s="73">
        <f>SUM(C58:D75)</f>
        <v>17420.629999999997</v>
      </c>
      <c r="D76" s="74"/>
    </row>
  </sheetData>
  <mergeCells count="30">
    <mergeCell ref="A76:B76"/>
    <mergeCell ref="C76:D76"/>
    <mergeCell ref="C71:D71"/>
    <mergeCell ref="C72:D72"/>
    <mergeCell ref="C73:D73"/>
    <mergeCell ref="C74:D74"/>
    <mergeCell ref="A75:B75"/>
    <mergeCell ref="C75:D75"/>
    <mergeCell ref="C66:D66"/>
    <mergeCell ref="C67:D67"/>
    <mergeCell ref="C68:D68"/>
    <mergeCell ref="C69:D69"/>
    <mergeCell ref="C70:D70"/>
    <mergeCell ref="C61:D61"/>
    <mergeCell ref="C62:D62"/>
    <mergeCell ref="C63:D63"/>
    <mergeCell ref="C64:D64"/>
    <mergeCell ref="C65:D65"/>
    <mergeCell ref="A57:B57"/>
    <mergeCell ref="C57:D57"/>
    <mergeCell ref="C58:D58"/>
    <mergeCell ref="C59:D59"/>
    <mergeCell ref="C60:D60"/>
    <mergeCell ref="A55:D55"/>
    <mergeCell ref="A3:D3"/>
    <mergeCell ref="A2:D2"/>
    <mergeCell ref="A5:D5"/>
    <mergeCell ref="A28:D28"/>
    <mergeCell ref="A41:D41"/>
    <mergeCell ref="A54:D54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68"/>
  <sheetViews>
    <sheetView workbookViewId="0">
      <selection activeCell="C68" sqref="C68:D68"/>
    </sheetView>
  </sheetViews>
  <sheetFormatPr defaultRowHeight="15"/>
  <sheetData>
    <row r="2" spans="1:1" ht="18.75">
      <c r="A2" s="7" t="s">
        <v>65</v>
      </c>
    </row>
    <row r="44" spans="4:4">
      <c r="D44">
        <f>C57+C70</f>
        <v>870</v>
      </c>
    </row>
    <row r="45" spans="4:4">
      <c r="D45">
        <f>C68</f>
        <v>13388.91</v>
      </c>
    </row>
    <row r="49" spans="1:4">
      <c r="D49">
        <f>C64</f>
        <v>7842.05</v>
      </c>
    </row>
    <row r="53" spans="1:4" ht="18.75">
      <c r="A53" s="7" t="s">
        <v>62</v>
      </c>
    </row>
    <row r="54" spans="1:4" ht="18.75">
      <c r="A54" s="7" t="s">
        <v>66</v>
      </c>
    </row>
    <row r="57" spans="1:4">
      <c r="C57">
        <f>600+270</f>
        <v>870</v>
      </c>
    </row>
    <row r="64" spans="1:4">
      <c r="C64">
        <v>7842.05</v>
      </c>
    </row>
    <row r="68" spans="3:3">
      <c r="C68">
        <v>13388.91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8"/>
  <sheetViews>
    <sheetView workbookViewId="0">
      <selection activeCell="F1" sqref="F1:F1048576"/>
    </sheetView>
  </sheetViews>
  <sheetFormatPr defaultRowHeight="15"/>
  <cols>
    <col min="1" max="1" width="40.875" style="3" customWidth="1"/>
    <col min="2" max="2" width="8.875" style="1" customWidth="1"/>
    <col min="3" max="3" width="17.25" customWidth="1"/>
    <col min="4" max="4" width="14.75" customWidth="1"/>
    <col min="5" max="5" width="10.75" hidden="1" customWidth="1"/>
    <col min="6" max="6" width="11.75" hidden="1" customWidth="1"/>
    <col min="8" max="8" width="12.125" customWidth="1"/>
  </cols>
  <sheetData>
    <row r="2" spans="1:6" ht="62.25" customHeight="1">
      <c r="A2" s="61" t="s">
        <v>68</v>
      </c>
      <c r="B2" s="62"/>
      <c r="C2" s="62"/>
      <c r="D2" s="62"/>
    </row>
    <row r="3" spans="1:6" ht="73.5" customHeight="1">
      <c r="A3" s="70" t="s">
        <v>54</v>
      </c>
      <c r="B3" s="71"/>
      <c r="C3" s="71"/>
      <c r="D3" s="71"/>
    </row>
    <row r="4" spans="1:6" ht="18.75">
      <c r="A4" s="6"/>
      <c r="B4" s="7"/>
      <c r="C4" s="8"/>
      <c r="D4" s="8"/>
    </row>
    <row r="5" spans="1:6" ht="45" customHeight="1">
      <c r="A5" s="67" t="s">
        <v>24</v>
      </c>
      <c r="B5" s="68"/>
      <c r="C5" s="68"/>
      <c r="D5" s="68"/>
    </row>
    <row r="6" spans="1:6" s="2" customFormat="1" ht="78" customHeight="1">
      <c r="A6" s="9" t="s">
        <v>0</v>
      </c>
      <c r="B6" s="9" t="s">
        <v>1</v>
      </c>
      <c r="C6" s="10" t="s">
        <v>23</v>
      </c>
      <c r="D6" s="10" t="s">
        <v>17</v>
      </c>
    </row>
    <row r="7" spans="1:6" s="2" customFormat="1" ht="18.75">
      <c r="A7" s="21" t="s">
        <v>22</v>
      </c>
      <c r="B7" s="16">
        <v>2111</v>
      </c>
      <c r="C7" s="23">
        <f>1994910+244530</f>
        <v>2239440</v>
      </c>
      <c r="D7" s="23">
        <f>1973800.36+248254.51</f>
        <v>2222054.87</v>
      </c>
      <c r="E7" s="26">
        <f>C7-D7</f>
        <v>17385.129999999888</v>
      </c>
      <c r="F7" s="26">
        <f>C7-D7</f>
        <v>17385.129999999888</v>
      </c>
    </row>
    <row r="8" spans="1:6" s="2" customFormat="1" ht="18.75">
      <c r="A8" s="21" t="s">
        <v>44</v>
      </c>
      <c r="B8" s="16">
        <v>2120</v>
      </c>
      <c r="C8" s="23">
        <f>431880+61800+16000+10000</f>
        <v>519680</v>
      </c>
      <c r="D8" s="23">
        <f>60218.26+445692.07</f>
        <v>505910.33</v>
      </c>
      <c r="E8" s="26">
        <f t="shared" ref="E8:E25" si="0">C8-D8</f>
        <v>13769.669999999984</v>
      </c>
      <c r="F8" s="26">
        <f t="shared" ref="F8:F25" si="1">C8-D8</f>
        <v>13769.669999999984</v>
      </c>
    </row>
    <row r="9" spans="1:6" ht="37.5">
      <c r="A9" s="11" t="s">
        <v>2</v>
      </c>
      <c r="B9" s="17">
        <v>2210</v>
      </c>
      <c r="C9" s="13">
        <f>41270+118250+17808+16000</f>
        <v>193328</v>
      </c>
      <c r="D9" s="13">
        <f>22831+5204.5+163544.94</f>
        <v>191580.44</v>
      </c>
      <c r="E9" s="26">
        <f t="shared" si="0"/>
        <v>1747.5599999999977</v>
      </c>
      <c r="F9" s="26">
        <f t="shared" si="1"/>
        <v>1747.5599999999977</v>
      </c>
    </row>
    <row r="10" spans="1:6" ht="18.75">
      <c r="A10" s="11" t="s">
        <v>3</v>
      </c>
      <c r="B10" s="17">
        <v>2230</v>
      </c>
      <c r="C10" s="13">
        <f>40250+80450+20000</f>
        <v>140700</v>
      </c>
      <c r="D10" s="13">
        <f>75961.39+54323.11</f>
        <v>130284.5</v>
      </c>
      <c r="E10" s="26">
        <f t="shared" si="0"/>
        <v>10415.5</v>
      </c>
      <c r="F10" s="26">
        <f t="shared" si="1"/>
        <v>10415.5</v>
      </c>
    </row>
    <row r="11" spans="1:6" ht="18.75">
      <c r="A11" s="11" t="s">
        <v>4</v>
      </c>
      <c r="B11" s="17">
        <v>2240</v>
      </c>
      <c r="C11" s="13">
        <f>179940+51087-16000-65000</f>
        <v>150027</v>
      </c>
      <c r="D11" s="13">
        <f>11500+133541.68</f>
        <v>145041.68</v>
      </c>
      <c r="E11" s="26">
        <f t="shared" si="0"/>
        <v>4985.320000000007</v>
      </c>
      <c r="F11" s="26">
        <f t="shared" si="1"/>
        <v>4985.320000000007</v>
      </c>
    </row>
    <row r="12" spans="1:6" ht="18.75">
      <c r="A12" s="11" t="s">
        <v>5</v>
      </c>
      <c r="B12" s="17">
        <v>2250</v>
      </c>
      <c r="C12" s="13">
        <v>1500</v>
      </c>
      <c r="D12" s="13">
        <v>1500</v>
      </c>
      <c r="E12" s="26">
        <f t="shared" si="0"/>
        <v>0</v>
      </c>
      <c r="F12" s="26">
        <f t="shared" si="1"/>
        <v>0</v>
      </c>
    </row>
    <row r="13" spans="1:6" ht="18.75" hidden="1">
      <c r="A13" s="11" t="s">
        <v>6</v>
      </c>
      <c r="B13" s="17">
        <v>2271</v>
      </c>
      <c r="C13" s="13"/>
      <c r="D13" s="13"/>
      <c r="E13" s="26">
        <f t="shared" si="0"/>
        <v>0</v>
      </c>
      <c r="F13" s="26">
        <f t="shared" si="1"/>
        <v>0</v>
      </c>
    </row>
    <row r="14" spans="1:6" ht="37.5">
      <c r="A14" s="11" t="s">
        <v>7</v>
      </c>
      <c r="B14" s="17">
        <v>2272</v>
      </c>
      <c r="C14" s="13">
        <f>2860+1930-510</f>
        <v>4280</v>
      </c>
      <c r="D14" s="13">
        <f>468.7+3774.55</f>
        <v>4243.25</v>
      </c>
      <c r="E14" s="26">
        <f t="shared" si="0"/>
        <v>36.75</v>
      </c>
      <c r="F14" s="26">
        <f t="shared" si="1"/>
        <v>36.75</v>
      </c>
    </row>
    <row r="15" spans="1:6" ht="18.75">
      <c r="A15" s="11" t="s">
        <v>8</v>
      </c>
      <c r="B15" s="17">
        <v>2273</v>
      </c>
      <c r="C15" s="13">
        <f>69750+11750-1000</f>
        <v>80500</v>
      </c>
      <c r="D15" s="13">
        <f>4782.42+60859.29</f>
        <v>65641.710000000006</v>
      </c>
      <c r="E15" s="26">
        <f t="shared" si="0"/>
        <v>14858.289999999994</v>
      </c>
      <c r="F15" s="26">
        <f t="shared" si="1"/>
        <v>14858.289999999994</v>
      </c>
    </row>
    <row r="16" spans="1:6" ht="18.75">
      <c r="A16" s="11" t="s">
        <v>9</v>
      </c>
      <c r="B16" s="17">
        <v>2274</v>
      </c>
      <c r="C16" s="13">
        <f>121880+122210+25000</f>
        <v>269090</v>
      </c>
      <c r="D16" s="13">
        <f>176125.88+91659.37</f>
        <v>267785.25</v>
      </c>
      <c r="E16" s="26">
        <f t="shared" si="0"/>
        <v>1304.75</v>
      </c>
      <c r="F16" s="26">
        <f t="shared" si="1"/>
        <v>1304.75</v>
      </c>
    </row>
    <row r="17" spans="1:8" ht="18.75" hidden="1">
      <c r="A17" s="11" t="s">
        <v>10</v>
      </c>
      <c r="B17" s="17">
        <v>2275</v>
      </c>
      <c r="C17" s="13"/>
      <c r="D17" s="13"/>
      <c r="E17" s="26">
        <f t="shared" si="0"/>
        <v>0</v>
      </c>
      <c r="F17" s="26">
        <f t="shared" si="1"/>
        <v>0</v>
      </c>
    </row>
    <row r="18" spans="1:8" ht="33" customHeight="1">
      <c r="A18" s="11" t="s">
        <v>11</v>
      </c>
      <c r="B18" s="17">
        <v>2282</v>
      </c>
      <c r="C18" s="13">
        <f>1600+850</f>
        <v>2450</v>
      </c>
      <c r="D18" s="13">
        <v>2433.58</v>
      </c>
      <c r="E18" s="26">
        <f t="shared" si="0"/>
        <v>16.420000000000073</v>
      </c>
      <c r="F18" s="26">
        <f t="shared" si="1"/>
        <v>16.420000000000073</v>
      </c>
    </row>
    <row r="19" spans="1:8" ht="18" hidden="1" customHeight="1">
      <c r="A19" s="11" t="s">
        <v>14</v>
      </c>
      <c r="B19" s="17">
        <v>2730</v>
      </c>
      <c r="C19" s="13"/>
      <c r="D19" s="13"/>
      <c r="E19" s="26">
        <f t="shared" si="0"/>
        <v>0</v>
      </c>
      <c r="F19" s="26">
        <f t="shared" si="1"/>
        <v>0</v>
      </c>
    </row>
    <row r="20" spans="1:8" ht="15.75" customHeight="1">
      <c r="A20" s="11" t="s">
        <v>15</v>
      </c>
      <c r="B20" s="17">
        <v>2800</v>
      </c>
      <c r="C20" s="13">
        <f>160+300</f>
        <v>460</v>
      </c>
      <c r="D20" s="13">
        <v>446.75</v>
      </c>
      <c r="E20" s="26">
        <f t="shared" si="0"/>
        <v>13.25</v>
      </c>
      <c r="F20" s="26">
        <f t="shared" si="1"/>
        <v>13.25</v>
      </c>
    </row>
    <row r="21" spans="1:8" ht="36.75" customHeight="1">
      <c r="A21" s="11" t="s">
        <v>12</v>
      </c>
      <c r="B21" s="17">
        <v>3110</v>
      </c>
      <c r="C21" s="13">
        <f>14000+203000+20000</f>
        <v>237000</v>
      </c>
      <c r="D21" s="13">
        <f>14000+203000+17000</f>
        <v>234000</v>
      </c>
      <c r="E21" s="26">
        <f t="shared" si="0"/>
        <v>3000</v>
      </c>
      <c r="F21" s="26">
        <f t="shared" si="1"/>
        <v>3000</v>
      </c>
      <c r="H21" s="38"/>
    </row>
    <row r="22" spans="1:8" ht="37.5" hidden="1">
      <c r="A22" s="11" t="s">
        <v>20</v>
      </c>
      <c r="B22" s="17">
        <v>3122</v>
      </c>
      <c r="C22" s="13"/>
      <c r="D22" s="13"/>
      <c r="E22" s="26">
        <f t="shared" si="0"/>
        <v>0</v>
      </c>
      <c r="F22" s="26">
        <f t="shared" si="1"/>
        <v>0</v>
      </c>
    </row>
    <row r="23" spans="1:8" ht="18.75">
      <c r="A23" s="11" t="s">
        <v>21</v>
      </c>
      <c r="B23" s="17">
        <v>3132</v>
      </c>
      <c r="C23" s="13">
        <f>45002.2+167.08</f>
        <v>45169.279999999999</v>
      </c>
      <c r="D23" s="13">
        <v>45002.2</v>
      </c>
      <c r="E23" s="26">
        <f t="shared" si="0"/>
        <v>167.08000000000175</v>
      </c>
      <c r="F23" s="26">
        <f t="shared" si="1"/>
        <v>167.08000000000175</v>
      </c>
    </row>
    <row r="24" spans="1:8" ht="37.5" hidden="1">
      <c r="A24" s="32" t="s">
        <v>45</v>
      </c>
      <c r="B24" s="17">
        <v>3142</v>
      </c>
      <c r="C24" s="13"/>
      <c r="D24" s="13"/>
      <c r="E24" s="26">
        <f t="shared" si="0"/>
        <v>0</v>
      </c>
      <c r="F24" s="26">
        <f t="shared" si="1"/>
        <v>0</v>
      </c>
    </row>
    <row r="25" spans="1:8" ht="18.75">
      <c r="A25" s="11" t="s">
        <v>13</v>
      </c>
      <c r="B25" s="17"/>
      <c r="C25" s="14">
        <f>SUM(C7:C24)</f>
        <v>3883624.28</v>
      </c>
      <c r="D25" s="51">
        <f>SUM(D7:D24)</f>
        <v>3815924.5600000005</v>
      </c>
      <c r="E25" s="26">
        <f t="shared" si="0"/>
        <v>67699.719999999274</v>
      </c>
      <c r="F25" s="26">
        <f t="shared" si="1"/>
        <v>67699.719999999274</v>
      </c>
    </row>
    <row r="26" spans="1:8">
      <c r="C26" s="4"/>
      <c r="D26" s="4"/>
    </row>
    <row r="27" spans="1:8">
      <c r="C27" s="4"/>
      <c r="D27" s="4"/>
    </row>
    <row r="28" spans="1:8" ht="30.75" customHeight="1">
      <c r="A28" s="61" t="s">
        <v>25</v>
      </c>
      <c r="B28" s="69"/>
      <c r="C28" s="69"/>
      <c r="D28" s="69"/>
    </row>
    <row r="29" spans="1:8">
      <c r="D29" s="30"/>
    </row>
    <row r="30" spans="1:8" ht="75">
      <c r="A30" s="15" t="s">
        <v>0</v>
      </c>
      <c r="B30" s="15" t="s">
        <v>1</v>
      </c>
      <c r="C30" s="10"/>
      <c r="D30" s="10" t="s">
        <v>18</v>
      </c>
    </row>
    <row r="31" spans="1:8" ht="37.5" hidden="1">
      <c r="A31" s="11" t="s">
        <v>2</v>
      </c>
      <c r="B31" s="17">
        <v>2210</v>
      </c>
      <c r="C31" s="37"/>
      <c r="D31" s="37"/>
      <c r="F31" s="26"/>
    </row>
    <row r="32" spans="1:8" ht="18.75">
      <c r="A32" s="12" t="s">
        <v>3</v>
      </c>
      <c r="B32" s="17">
        <v>2230</v>
      </c>
      <c r="C32" s="55">
        <v>20189.099999999999</v>
      </c>
      <c r="D32" s="37">
        <v>19543.97</v>
      </c>
      <c r="F32" s="26"/>
    </row>
    <row r="33" spans="1:6" ht="18.75" hidden="1">
      <c r="A33" s="12" t="s">
        <v>4</v>
      </c>
      <c r="B33" s="17">
        <v>2240</v>
      </c>
      <c r="C33" s="37"/>
      <c r="D33" s="37"/>
      <c r="F33" s="26"/>
    </row>
    <row r="34" spans="1:6" ht="18.75">
      <c r="A34" s="40" t="s">
        <v>10</v>
      </c>
      <c r="B34" s="17">
        <v>2275</v>
      </c>
      <c r="C34" s="37">
        <v>5</v>
      </c>
      <c r="D34" s="37">
        <v>1</v>
      </c>
      <c r="F34" s="26"/>
    </row>
    <row r="35" spans="1:6" ht="18.75" hidden="1">
      <c r="A35" s="11" t="s">
        <v>15</v>
      </c>
      <c r="B35" s="17">
        <v>2800</v>
      </c>
      <c r="C35" s="37"/>
      <c r="D35" s="37"/>
      <c r="F35" s="26"/>
    </row>
    <row r="36" spans="1:6" ht="37.5" hidden="1">
      <c r="A36" s="11" t="s">
        <v>12</v>
      </c>
      <c r="B36" s="17">
        <v>3110</v>
      </c>
      <c r="C36" s="37"/>
      <c r="D36" s="37"/>
      <c r="F36" s="26"/>
    </row>
    <row r="37" spans="1:6" ht="18.75" hidden="1">
      <c r="A37" s="18" t="s">
        <v>16</v>
      </c>
      <c r="B37" s="19">
        <v>3132</v>
      </c>
      <c r="C37" s="20"/>
      <c r="D37" s="20"/>
      <c r="F37" s="26"/>
    </row>
    <row r="38" spans="1:6" ht="18.75">
      <c r="A38" s="11" t="s">
        <v>13</v>
      </c>
      <c r="B38" s="17"/>
      <c r="C38" s="14">
        <f>SUM(C31:C37)</f>
        <v>20194.099999999999</v>
      </c>
      <c r="D38" s="14">
        <f>SUM(D31:D37)</f>
        <v>19544.97</v>
      </c>
      <c r="F38" s="26"/>
    </row>
    <row r="39" spans="1:6">
      <c r="A39" s="1"/>
      <c r="B39" s="5"/>
      <c r="C39" s="4"/>
      <c r="D39" s="4"/>
    </row>
    <row r="40" spans="1:6">
      <c r="A40" s="1"/>
      <c r="B40" s="5"/>
      <c r="C40" s="4"/>
      <c r="D40" s="4"/>
    </row>
    <row r="41" spans="1:6" ht="33.75" customHeight="1">
      <c r="A41" s="56" t="s">
        <v>26</v>
      </c>
      <c r="B41" s="57"/>
      <c r="C41" s="57"/>
      <c r="D41" s="57"/>
    </row>
    <row r="42" spans="1:6">
      <c r="A42" s="1"/>
      <c r="B42" s="5"/>
      <c r="C42" s="4"/>
      <c r="D42" s="4"/>
    </row>
    <row r="43" spans="1:6" ht="75">
      <c r="A43" s="15" t="s">
        <v>0</v>
      </c>
      <c r="B43" s="15" t="s">
        <v>1</v>
      </c>
      <c r="C43" s="10" t="s">
        <v>23</v>
      </c>
      <c r="D43" s="10" t="s">
        <v>18</v>
      </c>
    </row>
    <row r="44" spans="1:6" ht="37.5">
      <c r="A44" s="11" t="s">
        <v>2</v>
      </c>
      <c r="B44" s="17">
        <v>2210</v>
      </c>
      <c r="C44" s="37">
        <v>882.29</v>
      </c>
      <c r="D44" s="65">
        <v>882.29</v>
      </c>
      <c r="E44" s="66"/>
      <c r="F44" s="26"/>
    </row>
    <row r="45" spans="1:6" ht="18.75">
      <c r="A45" s="12" t="s">
        <v>3</v>
      </c>
      <c r="B45" s="17">
        <v>2230</v>
      </c>
      <c r="C45" s="37">
        <v>20605.13</v>
      </c>
      <c r="D45" s="65">
        <v>20605.13</v>
      </c>
      <c r="E45" s="66"/>
      <c r="F45" s="26"/>
    </row>
    <row r="46" spans="1:6" ht="18.75" hidden="1">
      <c r="A46" s="12" t="s">
        <v>4</v>
      </c>
      <c r="B46" s="17">
        <v>2240</v>
      </c>
      <c r="C46" s="37"/>
      <c r="D46" s="37"/>
      <c r="E46" s="53"/>
      <c r="F46" s="26"/>
    </row>
    <row r="47" spans="1:6" ht="18.75" hidden="1">
      <c r="A47" s="12" t="s">
        <v>10</v>
      </c>
      <c r="B47" s="17">
        <v>2275</v>
      </c>
      <c r="C47" s="37"/>
      <c r="D47" s="37"/>
      <c r="E47" s="53"/>
      <c r="F47" s="26"/>
    </row>
    <row r="48" spans="1:6" ht="18.75" hidden="1">
      <c r="A48" s="11" t="s">
        <v>15</v>
      </c>
      <c r="B48" s="17">
        <v>2800</v>
      </c>
      <c r="C48" s="37"/>
      <c r="D48" s="37"/>
      <c r="E48" s="53"/>
      <c r="F48" s="26"/>
    </row>
    <row r="49" spans="1:6" ht="37.5">
      <c r="A49" s="11" t="s">
        <v>12</v>
      </c>
      <c r="B49" s="17">
        <v>3110</v>
      </c>
      <c r="C49" s="37">
        <v>3874.12</v>
      </c>
      <c r="D49" s="65">
        <v>3874.12</v>
      </c>
      <c r="E49" s="66"/>
      <c r="F49" s="26"/>
    </row>
    <row r="50" spans="1:6" ht="18.75" hidden="1">
      <c r="A50" s="18" t="s">
        <v>16</v>
      </c>
      <c r="B50" s="19">
        <v>3132</v>
      </c>
      <c r="C50" s="13">
        <f t="shared" ref="C50" si="2">D50</f>
        <v>0</v>
      </c>
      <c r="D50" s="20"/>
      <c r="F50" s="26"/>
    </row>
    <row r="51" spans="1:6" ht="18.75">
      <c r="A51" s="11" t="s">
        <v>13</v>
      </c>
      <c r="B51" s="17"/>
      <c r="C51" s="14">
        <f>C44+C45+C48+C49+C50</f>
        <v>25361.54</v>
      </c>
      <c r="D51" s="14">
        <f>D44+D45+D48+D49+D50</f>
        <v>25361.54</v>
      </c>
      <c r="F51" s="26"/>
    </row>
    <row r="52" spans="1:6" ht="18.75">
      <c r="A52" s="43"/>
      <c r="B52" s="44"/>
      <c r="C52" s="45"/>
      <c r="D52" s="45"/>
      <c r="F52" s="26"/>
    </row>
    <row r="53" spans="1:6" ht="18.75">
      <c r="A53" s="43"/>
      <c r="B53" s="44"/>
      <c r="C53" s="45"/>
      <c r="D53" s="45"/>
      <c r="F53" s="26"/>
    </row>
    <row r="54" spans="1:6" ht="46.5" customHeight="1">
      <c r="A54" s="56" t="s">
        <v>69</v>
      </c>
      <c r="B54" s="80"/>
      <c r="C54" s="80"/>
      <c r="D54" s="80"/>
    </row>
    <row r="55" spans="1:6" ht="15" customHeight="1">
      <c r="A55" s="56"/>
      <c r="B55" s="57"/>
      <c r="C55" s="57"/>
      <c r="D55" s="57"/>
    </row>
    <row r="57" spans="1:6" ht="16.5" customHeight="1">
      <c r="A57" s="58" t="s">
        <v>27</v>
      </c>
      <c r="B57" s="59"/>
      <c r="C57" s="60" t="s">
        <v>28</v>
      </c>
      <c r="D57" s="59"/>
    </row>
    <row r="58" spans="1:6" ht="16.5" hidden="1" customHeight="1">
      <c r="A58" s="40" t="s">
        <v>39</v>
      </c>
      <c r="B58" s="35">
        <v>2210</v>
      </c>
      <c r="C58" s="77"/>
      <c r="D58" s="77"/>
    </row>
    <row r="59" spans="1:6" ht="16.5" hidden="1" customHeight="1">
      <c r="A59" s="40" t="s">
        <v>33</v>
      </c>
      <c r="B59" s="35">
        <v>2210</v>
      </c>
      <c r="C59" s="75"/>
      <c r="D59" s="76"/>
    </row>
    <row r="60" spans="1:6" ht="16.5" hidden="1" customHeight="1">
      <c r="A60" s="40" t="s">
        <v>36</v>
      </c>
      <c r="B60" s="35">
        <v>2210</v>
      </c>
      <c r="C60" s="75"/>
      <c r="D60" s="76"/>
    </row>
    <row r="61" spans="1:6" ht="16.5" hidden="1" customHeight="1">
      <c r="A61" s="40" t="s">
        <v>41</v>
      </c>
      <c r="B61" s="47" t="s">
        <v>55</v>
      </c>
      <c r="C61" s="65"/>
      <c r="D61" s="66"/>
    </row>
    <row r="62" spans="1:6" ht="16.5" hidden="1" customHeight="1">
      <c r="A62" s="40" t="s">
        <v>32</v>
      </c>
      <c r="B62" s="48">
        <v>2210</v>
      </c>
      <c r="C62" s="75"/>
      <c r="D62" s="76"/>
    </row>
    <row r="63" spans="1:6" ht="16.5" hidden="1" customHeight="1">
      <c r="A63" s="40" t="s">
        <v>34</v>
      </c>
      <c r="B63" s="48">
        <v>2210</v>
      </c>
      <c r="C63" s="75"/>
      <c r="D63" s="76"/>
    </row>
    <row r="64" spans="1:6" ht="16.5" hidden="1" customHeight="1">
      <c r="A64" s="40" t="s">
        <v>40</v>
      </c>
      <c r="B64" s="48">
        <v>2210</v>
      </c>
      <c r="C64" s="75"/>
      <c r="D64" s="76"/>
    </row>
    <row r="65" spans="1:4" ht="16.5" customHeight="1">
      <c r="A65" s="40" t="s">
        <v>35</v>
      </c>
      <c r="B65" s="35">
        <v>3110</v>
      </c>
      <c r="C65" s="65">
        <v>3874.12</v>
      </c>
      <c r="D65" s="66"/>
    </row>
    <row r="66" spans="1:4" ht="16.5" hidden="1" customHeight="1">
      <c r="A66" s="40" t="s">
        <v>37</v>
      </c>
      <c r="B66" s="35">
        <v>2210</v>
      </c>
      <c r="C66" s="78"/>
      <c r="D66" s="79"/>
    </row>
    <row r="67" spans="1:4" ht="16.5" hidden="1" customHeight="1">
      <c r="A67" s="40" t="s">
        <v>38</v>
      </c>
      <c r="B67" s="35">
        <v>2210</v>
      </c>
      <c r="C67" s="78"/>
      <c r="D67" s="79"/>
    </row>
    <row r="68" spans="1:4" ht="16.5" hidden="1" customHeight="1">
      <c r="A68" s="40" t="s">
        <v>50</v>
      </c>
      <c r="B68" s="35">
        <v>2240</v>
      </c>
      <c r="C68" s="78"/>
      <c r="D68" s="79"/>
    </row>
    <row r="69" spans="1:4" ht="16.5" customHeight="1">
      <c r="A69" s="40" t="s">
        <v>42</v>
      </c>
      <c r="B69" s="35">
        <v>2230</v>
      </c>
      <c r="C69" s="65">
        <v>20605.13</v>
      </c>
      <c r="D69" s="66"/>
    </row>
    <row r="70" spans="1:4" ht="18.75" hidden="1">
      <c r="A70" s="40" t="s">
        <v>43</v>
      </c>
      <c r="B70" s="35">
        <v>2210</v>
      </c>
      <c r="C70" s="78"/>
      <c r="D70" s="79"/>
    </row>
    <row r="71" spans="1:4" ht="18.75">
      <c r="A71" s="40" t="s">
        <v>49</v>
      </c>
      <c r="B71" s="35">
        <v>2210</v>
      </c>
      <c r="C71" s="65">
        <v>882.29</v>
      </c>
      <c r="D71" s="66"/>
    </row>
    <row r="72" spans="1:4" ht="18.75" hidden="1">
      <c r="A72" s="40" t="s">
        <v>47</v>
      </c>
      <c r="B72" s="35">
        <v>2210</v>
      </c>
      <c r="C72" s="65"/>
      <c r="D72" s="66"/>
    </row>
    <row r="73" spans="1:4" ht="18.75" hidden="1">
      <c r="A73" s="40" t="s">
        <v>46</v>
      </c>
      <c r="B73" s="35">
        <v>2210</v>
      </c>
      <c r="C73" s="65"/>
      <c r="D73" s="66"/>
    </row>
    <row r="74" spans="1:4" ht="18.75" hidden="1">
      <c r="A74" s="40" t="s">
        <v>48</v>
      </c>
      <c r="B74" s="41">
        <v>2210</v>
      </c>
      <c r="C74" s="65"/>
      <c r="D74" s="66"/>
    </row>
    <row r="75" spans="1:4" ht="18.75">
      <c r="A75" s="63"/>
      <c r="B75" s="64"/>
      <c r="C75" s="65"/>
      <c r="D75" s="66"/>
    </row>
    <row r="76" spans="1:4" ht="18.75">
      <c r="A76" s="63"/>
      <c r="B76" s="64"/>
      <c r="C76" s="73">
        <f>SUM(C58:D75)</f>
        <v>25361.54</v>
      </c>
      <c r="D76" s="74"/>
    </row>
    <row r="78" spans="1:4" ht="34.5" hidden="1" customHeight="1">
      <c r="A78" s="56" t="s">
        <v>61</v>
      </c>
      <c r="B78" s="57"/>
      <c r="C78" s="57"/>
      <c r="D78" s="57"/>
    </row>
  </sheetData>
  <mergeCells count="34">
    <mergeCell ref="A76:B76"/>
    <mergeCell ref="C76:D76"/>
    <mergeCell ref="C71:D71"/>
    <mergeCell ref="C72:D72"/>
    <mergeCell ref="C73:D73"/>
    <mergeCell ref="C74:D74"/>
    <mergeCell ref="A75:B75"/>
    <mergeCell ref="C75:D75"/>
    <mergeCell ref="D44:E44"/>
    <mergeCell ref="D45:E45"/>
    <mergeCell ref="D49:E49"/>
    <mergeCell ref="A54:D54"/>
    <mergeCell ref="C70:D70"/>
    <mergeCell ref="A3:D3"/>
    <mergeCell ref="A2:D2"/>
    <mergeCell ref="A5:D5"/>
    <mergeCell ref="A28:D28"/>
    <mergeCell ref="A41:D41"/>
    <mergeCell ref="A78:D78"/>
    <mergeCell ref="A55:D55"/>
    <mergeCell ref="A57:B57"/>
    <mergeCell ref="C57:D57"/>
    <mergeCell ref="C59:D59"/>
    <mergeCell ref="C60:D60"/>
    <mergeCell ref="C58:D58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76"/>
  <sheetViews>
    <sheetView workbookViewId="0">
      <selection activeCell="F6" sqref="F1:F1048576"/>
    </sheetView>
  </sheetViews>
  <sheetFormatPr defaultRowHeight="15"/>
  <cols>
    <col min="1" max="1" width="41.875" style="3" customWidth="1"/>
    <col min="2" max="2" width="9.125" style="1" customWidth="1"/>
    <col min="3" max="3" width="17.875" customWidth="1"/>
    <col min="4" max="4" width="17" customWidth="1"/>
    <col min="5" max="6" width="11.375" hidden="1" customWidth="1"/>
  </cols>
  <sheetData>
    <row r="2" spans="1:6" ht="60" customHeight="1">
      <c r="A2" s="61" t="s">
        <v>68</v>
      </c>
      <c r="B2" s="62"/>
      <c r="C2" s="62"/>
      <c r="D2" s="62"/>
    </row>
    <row r="3" spans="1:6" ht="62.25" customHeight="1">
      <c r="A3" s="70" t="s">
        <v>30</v>
      </c>
      <c r="B3" s="71"/>
      <c r="C3" s="71"/>
      <c r="D3" s="71"/>
    </row>
    <row r="4" spans="1:6" ht="18.75">
      <c r="A4" s="6"/>
      <c r="B4" s="7"/>
      <c r="C4" s="8"/>
      <c r="D4" s="8"/>
    </row>
    <row r="5" spans="1:6" ht="41.25" customHeight="1">
      <c r="A5" s="67" t="s">
        <v>24</v>
      </c>
      <c r="B5" s="68"/>
      <c r="C5" s="68"/>
      <c r="D5" s="68"/>
    </row>
    <row r="6" spans="1:6" s="2" customFormat="1" ht="56.25">
      <c r="A6" s="9" t="s">
        <v>0</v>
      </c>
      <c r="B6" s="9" t="s">
        <v>1</v>
      </c>
      <c r="C6" s="10" t="s">
        <v>23</v>
      </c>
      <c r="D6" s="10" t="s">
        <v>17</v>
      </c>
    </row>
    <row r="7" spans="1:6" s="2" customFormat="1" ht="18.75">
      <c r="A7" s="21" t="s">
        <v>22</v>
      </c>
      <c r="B7" s="16">
        <v>2111</v>
      </c>
      <c r="C7" s="23">
        <f>2455620+27020+230310</f>
        <v>2712950</v>
      </c>
      <c r="D7" s="23">
        <f>2367314.27+213618.31+31465.69</f>
        <v>2612398.27</v>
      </c>
      <c r="E7" s="26">
        <f>C7-D7</f>
        <v>100551.72999999998</v>
      </c>
      <c r="F7" s="26">
        <f>C7-D7</f>
        <v>100551.72999999998</v>
      </c>
    </row>
    <row r="8" spans="1:6" s="2" customFormat="1" ht="18.75">
      <c r="A8" s="21" t="s">
        <v>44</v>
      </c>
      <c r="B8" s="16">
        <v>2120</v>
      </c>
      <c r="C8" s="23">
        <f>526230+50670+5940+2000+10210</f>
        <v>595050</v>
      </c>
      <c r="D8" s="23">
        <f>520737.32+55759.9+7425.37</f>
        <v>583922.59</v>
      </c>
      <c r="E8" s="26">
        <f t="shared" ref="E8:E25" si="0">C8-D8</f>
        <v>11127.410000000033</v>
      </c>
      <c r="F8" s="26">
        <f t="shared" ref="F8:F25" si="1">C8-D8</f>
        <v>11127.410000000033</v>
      </c>
    </row>
    <row r="9" spans="1:6" ht="37.5">
      <c r="A9" s="11" t="s">
        <v>2</v>
      </c>
      <c r="B9" s="17">
        <v>2210</v>
      </c>
      <c r="C9" s="13">
        <f>3720+57600+1450+20000</f>
        <v>82770</v>
      </c>
      <c r="D9" s="13">
        <f>25201.5+53370.56</f>
        <v>78572.06</v>
      </c>
      <c r="E9" s="26">
        <f t="shared" si="0"/>
        <v>4197.9400000000023</v>
      </c>
      <c r="F9" s="26">
        <f t="shared" si="1"/>
        <v>4197.9400000000023</v>
      </c>
    </row>
    <row r="10" spans="1:6" ht="18.75">
      <c r="A10" s="11" t="s">
        <v>3</v>
      </c>
      <c r="B10" s="17">
        <v>2230</v>
      </c>
      <c r="C10" s="13">
        <f>90150+79600+50000</f>
        <v>219750</v>
      </c>
      <c r="D10" s="13">
        <f>134361.41+74043.99</f>
        <v>208405.40000000002</v>
      </c>
      <c r="E10" s="26">
        <f t="shared" si="0"/>
        <v>11344.599999999977</v>
      </c>
      <c r="F10" s="26">
        <f t="shared" si="1"/>
        <v>11344.599999999977</v>
      </c>
    </row>
    <row r="11" spans="1:6" ht="18.75">
      <c r="A11" s="11" t="s">
        <v>4</v>
      </c>
      <c r="B11" s="17">
        <v>2240</v>
      </c>
      <c r="C11" s="13">
        <f>537590+65000+9000+10000</f>
        <v>621590</v>
      </c>
      <c r="D11" s="13">
        <v>609952.11</v>
      </c>
      <c r="E11" s="26">
        <f t="shared" si="0"/>
        <v>11637.890000000014</v>
      </c>
      <c r="F11" s="26">
        <f t="shared" si="1"/>
        <v>11637.890000000014</v>
      </c>
    </row>
    <row r="12" spans="1:6" ht="18.75">
      <c r="A12" s="11" t="s">
        <v>5</v>
      </c>
      <c r="B12" s="17">
        <v>2250</v>
      </c>
      <c r="C12" s="13">
        <v>918.03</v>
      </c>
      <c r="D12" s="13">
        <v>918.03</v>
      </c>
      <c r="E12" s="26">
        <f t="shared" si="0"/>
        <v>0</v>
      </c>
      <c r="F12" s="26">
        <f t="shared" si="1"/>
        <v>0</v>
      </c>
    </row>
    <row r="13" spans="1:6" ht="18.75" hidden="1">
      <c r="A13" s="11" t="s">
        <v>6</v>
      </c>
      <c r="B13" s="17">
        <v>2271</v>
      </c>
      <c r="C13" s="13"/>
      <c r="D13" s="13"/>
      <c r="E13" s="26">
        <f t="shared" si="0"/>
        <v>0</v>
      </c>
      <c r="F13" s="26">
        <f t="shared" si="1"/>
        <v>0</v>
      </c>
    </row>
    <row r="14" spans="1:6" ht="37.5">
      <c r="A14" s="11" t="s">
        <v>7</v>
      </c>
      <c r="B14" s="17">
        <v>2272</v>
      </c>
      <c r="C14" s="13">
        <v>9190</v>
      </c>
      <c r="D14" s="13">
        <f>8177+208.12</f>
        <v>8385.1200000000008</v>
      </c>
      <c r="E14" s="26">
        <f t="shared" si="0"/>
        <v>804.8799999999992</v>
      </c>
      <c r="F14" s="26">
        <f t="shared" si="1"/>
        <v>804.8799999999992</v>
      </c>
    </row>
    <row r="15" spans="1:6" ht="18.75">
      <c r="A15" s="11" t="s">
        <v>8</v>
      </c>
      <c r="B15" s="17">
        <v>2273</v>
      </c>
      <c r="C15" s="13">
        <v>50100</v>
      </c>
      <c r="D15" s="13">
        <v>47764.06</v>
      </c>
      <c r="E15" s="26">
        <f t="shared" si="0"/>
        <v>2335.9400000000023</v>
      </c>
      <c r="F15" s="26">
        <f t="shared" si="1"/>
        <v>2335.9400000000023</v>
      </c>
    </row>
    <row r="16" spans="1:6" ht="18.75">
      <c r="A16" s="11" t="s">
        <v>9</v>
      </c>
      <c r="B16" s="17">
        <v>2274</v>
      </c>
      <c r="C16" s="13">
        <f>506134-25000-147000</f>
        <v>334134</v>
      </c>
      <c r="D16" s="13">
        <v>333493.32</v>
      </c>
      <c r="E16" s="26">
        <f t="shared" si="0"/>
        <v>640.67999999999302</v>
      </c>
      <c r="F16" s="26">
        <f t="shared" si="1"/>
        <v>640.67999999999302</v>
      </c>
    </row>
    <row r="17" spans="1:9" ht="18.75" hidden="1">
      <c r="A17" s="11" t="s">
        <v>10</v>
      </c>
      <c r="B17" s="17">
        <v>2275</v>
      </c>
      <c r="C17" s="13"/>
      <c r="D17" s="13"/>
      <c r="E17" s="26">
        <f t="shared" si="0"/>
        <v>0</v>
      </c>
      <c r="F17" s="26">
        <f t="shared" si="1"/>
        <v>0</v>
      </c>
    </row>
    <row r="18" spans="1:9" ht="33" customHeight="1">
      <c r="A18" s="11" t="s">
        <v>11</v>
      </c>
      <c r="B18" s="17">
        <v>2282</v>
      </c>
      <c r="C18" s="13">
        <f>1600+500-50</f>
        <v>2050</v>
      </c>
      <c r="D18" s="13">
        <v>2001.58</v>
      </c>
      <c r="E18" s="26">
        <f t="shared" si="0"/>
        <v>48.420000000000073</v>
      </c>
      <c r="F18" s="26">
        <f t="shared" si="1"/>
        <v>48.420000000000073</v>
      </c>
    </row>
    <row r="19" spans="1:9" ht="18" hidden="1" customHeight="1">
      <c r="A19" s="11" t="s">
        <v>14</v>
      </c>
      <c r="B19" s="17">
        <v>2730</v>
      </c>
      <c r="C19" s="13"/>
      <c r="D19" s="13"/>
      <c r="E19" s="26">
        <f t="shared" si="0"/>
        <v>0</v>
      </c>
      <c r="F19" s="26">
        <f t="shared" si="1"/>
        <v>0</v>
      </c>
    </row>
    <row r="20" spans="1:9" ht="15.75" customHeight="1">
      <c r="A20" s="11" t="s">
        <v>15</v>
      </c>
      <c r="B20" s="17">
        <v>2800</v>
      </c>
      <c r="C20" s="13">
        <f>160+460+290</f>
        <v>910</v>
      </c>
      <c r="D20" s="13">
        <v>610.1</v>
      </c>
      <c r="E20" s="26">
        <f t="shared" si="0"/>
        <v>299.89999999999998</v>
      </c>
      <c r="F20" s="26">
        <f t="shared" si="1"/>
        <v>299.89999999999998</v>
      </c>
    </row>
    <row r="21" spans="1:9" ht="36.75" customHeight="1">
      <c r="A21" s="11" t="s">
        <v>12</v>
      </c>
      <c r="B21" s="17">
        <v>3110</v>
      </c>
      <c r="C21" s="13">
        <f>75500+14000</f>
        <v>89500</v>
      </c>
      <c r="D21" s="13">
        <f>74875.82+14000</f>
        <v>88875.82</v>
      </c>
      <c r="E21" s="26">
        <f t="shared" si="0"/>
        <v>624.17999999999302</v>
      </c>
      <c r="F21" s="26">
        <f t="shared" si="1"/>
        <v>624.17999999999302</v>
      </c>
      <c r="H21" s="38"/>
    </row>
    <row r="22" spans="1:9" ht="37.5" hidden="1">
      <c r="A22" s="11" t="s">
        <v>20</v>
      </c>
      <c r="B22" s="17">
        <v>3122</v>
      </c>
      <c r="C22" s="13"/>
      <c r="D22" s="13"/>
      <c r="E22" s="26">
        <f t="shared" si="0"/>
        <v>0</v>
      </c>
      <c r="F22" s="26">
        <f t="shared" si="1"/>
        <v>0</v>
      </c>
      <c r="I22" t="s">
        <v>19</v>
      </c>
    </row>
    <row r="23" spans="1:9" ht="18.75" hidden="1">
      <c r="A23" s="11" t="s">
        <v>21</v>
      </c>
      <c r="B23" s="17">
        <v>3132</v>
      </c>
      <c r="C23" s="13"/>
      <c r="D23" s="13"/>
      <c r="E23" s="26">
        <f t="shared" si="0"/>
        <v>0</v>
      </c>
      <c r="F23" s="26">
        <f t="shared" si="1"/>
        <v>0</v>
      </c>
    </row>
    <row r="24" spans="1:9" ht="37.5" hidden="1">
      <c r="A24" s="32" t="s">
        <v>45</v>
      </c>
      <c r="B24" s="17">
        <v>3142</v>
      </c>
      <c r="C24" s="13"/>
      <c r="D24" s="13"/>
      <c r="E24" s="26">
        <f t="shared" si="0"/>
        <v>0</v>
      </c>
      <c r="F24" s="26">
        <f t="shared" si="1"/>
        <v>0</v>
      </c>
    </row>
    <row r="25" spans="1:9" ht="18.75">
      <c r="A25" s="11" t="s">
        <v>13</v>
      </c>
      <c r="B25" s="17"/>
      <c r="C25" s="14">
        <f>SUM(C7:C24)</f>
        <v>4718912.03</v>
      </c>
      <c r="D25" s="51">
        <f>SUM(D7:D24)</f>
        <v>4575298.46</v>
      </c>
      <c r="E25" s="26">
        <f t="shared" si="0"/>
        <v>143613.5700000003</v>
      </c>
      <c r="F25" s="26">
        <f t="shared" si="1"/>
        <v>143613.5700000003</v>
      </c>
    </row>
    <row r="26" spans="1:9">
      <c r="C26" s="4"/>
      <c r="D26" s="4"/>
    </row>
    <row r="27" spans="1:9" ht="30.75" customHeight="1">
      <c r="A27" s="61" t="s">
        <v>25</v>
      </c>
      <c r="B27" s="69"/>
      <c r="C27" s="69"/>
      <c r="D27" s="69"/>
    </row>
    <row r="28" spans="1:9">
      <c r="D28" s="30"/>
    </row>
    <row r="29" spans="1:9" ht="56.25">
      <c r="A29" s="15" t="s">
        <v>0</v>
      </c>
      <c r="B29" s="15" t="s">
        <v>1</v>
      </c>
      <c r="C29" s="10" t="s">
        <v>23</v>
      </c>
      <c r="D29" s="10" t="s">
        <v>18</v>
      </c>
    </row>
    <row r="30" spans="1:9" ht="37.5" hidden="1">
      <c r="A30" s="11" t="s">
        <v>2</v>
      </c>
      <c r="B30" s="17">
        <v>2210</v>
      </c>
      <c r="C30" s="37"/>
      <c r="D30" s="37"/>
      <c r="F30" s="26"/>
    </row>
    <row r="31" spans="1:9" ht="18.75">
      <c r="A31" s="12" t="s">
        <v>3</v>
      </c>
      <c r="B31" s="17">
        <v>2230</v>
      </c>
      <c r="C31" s="55">
        <v>32850.18</v>
      </c>
      <c r="D31" s="37">
        <v>31800.47</v>
      </c>
      <c r="F31" s="26"/>
    </row>
    <row r="32" spans="1:9" ht="18.75" hidden="1">
      <c r="A32" s="12" t="s">
        <v>4</v>
      </c>
      <c r="B32" s="17">
        <v>2240</v>
      </c>
      <c r="C32" s="37"/>
      <c r="D32" s="37"/>
      <c r="F32" s="26"/>
    </row>
    <row r="33" spans="1:6" ht="18.75">
      <c r="A33" s="40" t="s">
        <v>10</v>
      </c>
      <c r="B33" s="17">
        <v>2275</v>
      </c>
      <c r="C33" s="37">
        <v>30</v>
      </c>
      <c r="D33" s="37">
        <v>30</v>
      </c>
      <c r="F33" s="26"/>
    </row>
    <row r="34" spans="1:6" ht="18.75" hidden="1">
      <c r="A34" s="11" t="s">
        <v>15</v>
      </c>
      <c r="B34" s="17">
        <v>2800</v>
      </c>
      <c r="C34" s="13"/>
      <c r="D34" s="37"/>
      <c r="F34" s="26"/>
    </row>
    <row r="35" spans="1:6" ht="37.5" hidden="1">
      <c r="A35" s="11" t="s">
        <v>12</v>
      </c>
      <c r="B35" s="17">
        <v>3110</v>
      </c>
      <c r="C35" s="13"/>
      <c r="D35" s="37"/>
      <c r="F35" s="26"/>
    </row>
    <row r="36" spans="1:6" ht="18.75" hidden="1">
      <c r="A36" s="18" t="s">
        <v>16</v>
      </c>
      <c r="B36" s="19">
        <v>3132</v>
      </c>
      <c r="C36" s="20"/>
      <c r="D36" s="20"/>
      <c r="F36" s="26"/>
    </row>
    <row r="37" spans="1:6" ht="18.75">
      <c r="A37" s="11" t="s">
        <v>13</v>
      </c>
      <c r="B37" s="17"/>
      <c r="C37" s="14">
        <f>SUM(C30:C36)</f>
        <v>32880.18</v>
      </c>
      <c r="D37" s="14">
        <f>SUM(D30:D36)</f>
        <v>31830.47</v>
      </c>
      <c r="F37" s="26"/>
    </row>
    <row r="38" spans="1:6">
      <c r="A38" s="1"/>
      <c r="B38" s="5"/>
      <c r="C38" s="4"/>
      <c r="D38" s="4"/>
    </row>
    <row r="39" spans="1:6">
      <c r="A39" s="1"/>
      <c r="B39" s="5"/>
      <c r="C39" s="4"/>
      <c r="D39" s="4"/>
    </row>
    <row r="40" spans="1:6" ht="32.25" customHeight="1">
      <c r="A40" s="56" t="s">
        <v>26</v>
      </c>
      <c r="B40" s="57"/>
      <c r="C40" s="57"/>
      <c r="D40" s="57"/>
    </row>
    <row r="41" spans="1:6">
      <c r="A41" s="1"/>
      <c r="B41" s="5"/>
      <c r="C41" s="4"/>
      <c r="D41" s="4"/>
    </row>
    <row r="42" spans="1:6" ht="56.25">
      <c r="A42" s="15" t="s">
        <v>0</v>
      </c>
      <c r="B42" s="15" t="s">
        <v>1</v>
      </c>
      <c r="C42" s="10" t="s">
        <v>23</v>
      </c>
      <c r="D42" s="10" t="s">
        <v>18</v>
      </c>
    </row>
    <row r="43" spans="1:6" ht="37.5">
      <c r="A43" s="11" t="s">
        <v>2</v>
      </c>
      <c r="B43" s="17">
        <v>2210</v>
      </c>
      <c r="C43" s="37">
        <v>4489.6000000000004</v>
      </c>
      <c r="D43" s="37">
        <v>4489.6000000000004</v>
      </c>
      <c r="F43" s="26"/>
    </row>
    <row r="44" spans="1:6" ht="18.75">
      <c r="A44" s="12" t="s">
        <v>3</v>
      </c>
      <c r="B44" s="17">
        <v>2230</v>
      </c>
      <c r="C44" s="37">
        <v>30370.81</v>
      </c>
      <c r="D44" s="37">
        <v>30370.81</v>
      </c>
      <c r="F44" s="26"/>
    </row>
    <row r="45" spans="1:6" ht="18.75" hidden="1">
      <c r="A45" s="12" t="s">
        <v>4</v>
      </c>
      <c r="B45" s="17">
        <v>2240</v>
      </c>
      <c r="C45" s="37"/>
      <c r="D45" s="37"/>
      <c r="F45" s="26"/>
    </row>
    <row r="46" spans="1:6" ht="18.75" hidden="1">
      <c r="A46" s="12" t="s">
        <v>10</v>
      </c>
      <c r="B46" s="17">
        <v>2275</v>
      </c>
      <c r="C46" s="37"/>
      <c r="D46" s="37"/>
      <c r="F46" s="26"/>
    </row>
    <row r="47" spans="1:6" ht="18.75" hidden="1">
      <c r="A47" s="11" t="s">
        <v>15</v>
      </c>
      <c r="B47" s="17">
        <v>2800</v>
      </c>
      <c r="C47" s="37"/>
      <c r="D47" s="37"/>
      <c r="F47" s="26"/>
    </row>
    <row r="48" spans="1:6" ht="37.5">
      <c r="A48" s="11" t="s">
        <v>12</v>
      </c>
      <c r="B48" s="17">
        <v>3110</v>
      </c>
      <c r="C48" s="37">
        <v>11100.26</v>
      </c>
      <c r="D48" s="37">
        <v>11100.26</v>
      </c>
      <c r="F48" s="26"/>
    </row>
    <row r="49" spans="1:6" ht="18.75" hidden="1">
      <c r="A49" s="18" t="s">
        <v>16</v>
      </c>
      <c r="B49" s="19">
        <v>3132</v>
      </c>
      <c r="C49" s="13"/>
      <c r="D49" s="20"/>
      <c r="F49" s="26"/>
    </row>
    <row r="50" spans="1:6" ht="18.75">
      <c r="A50" s="11" t="s">
        <v>13</v>
      </c>
      <c r="B50" s="17"/>
      <c r="C50" s="14">
        <f>C43+C44+C47+C48+C49</f>
        <v>45960.670000000006</v>
      </c>
      <c r="D50" s="14">
        <f>D43+D44+D47+D48+D49</f>
        <v>45960.670000000006</v>
      </c>
      <c r="F50" s="26"/>
    </row>
    <row r="51" spans="1:6" ht="18.75">
      <c r="A51" s="43"/>
      <c r="B51" s="44"/>
      <c r="C51" s="45"/>
      <c r="D51" s="45"/>
      <c r="F51" s="26"/>
    </row>
    <row r="52" spans="1:6" ht="18.75">
      <c r="A52" s="43"/>
      <c r="B52" s="44"/>
      <c r="C52" s="45"/>
      <c r="D52" s="45"/>
      <c r="F52" s="26"/>
    </row>
    <row r="54" spans="1:6" ht="51" customHeight="1">
      <c r="A54" s="56" t="s">
        <v>69</v>
      </c>
      <c r="B54" s="80"/>
      <c r="C54" s="80"/>
      <c r="D54" s="80"/>
    </row>
    <row r="55" spans="1:6" ht="17.25" customHeight="1">
      <c r="A55" s="56"/>
      <c r="B55" s="57"/>
      <c r="C55" s="57"/>
      <c r="D55" s="57"/>
    </row>
    <row r="57" spans="1:6" ht="18.75">
      <c r="A57" s="58" t="s">
        <v>27</v>
      </c>
      <c r="B57" s="59"/>
      <c r="C57" s="60" t="s">
        <v>28</v>
      </c>
      <c r="D57" s="59"/>
    </row>
    <row r="58" spans="1:6" ht="18.75" hidden="1">
      <c r="A58" s="40" t="s">
        <v>39</v>
      </c>
      <c r="B58" s="35">
        <v>2210</v>
      </c>
      <c r="C58" s="77"/>
      <c r="D58" s="77"/>
    </row>
    <row r="59" spans="1:6" ht="18.75" hidden="1">
      <c r="A59" s="40" t="s">
        <v>33</v>
      </c>
      <c r="B59" s="35">
        <v>2210</v>
      </c>
      <c r="C59" s="75"/>
      <c r="D59" s="76"/>
    </row>
    <row r="60" spans="1:6" ht="18.75">
      <c r="A60" s="40" t="s">
        <v>36</v>
      </c>
      <c r="B60" s="35">
        <v>2210</v>
      </c>
      <c r="C60" s="65">
        <v>3400</v>
      </c>
      <c r="D60" s="66"/>
    </row>
    <row r="61" spans="1:6" ht="18.75" hidden="1">
      <c r="A61" s="40" t="s">
        <v>41</v>
      </c>
      <c r="B61" s="36">
        <v>3110.221</v>
      </c>
      <c r="C61" s="78"/>
      <c r="D61" s="79"/>
    </row>
    <row r="62" spans="1:6" ht="18.75" hidden="1">
      <c r="A62" s="40" t="s">
        <v>32</v>
      </c>
      <c r="B62" s="35">
        <v>2210</v>
      </c>
      <c r="C62" s="78"/>
      <c r="D62" s="79"/>
    </row>
    <row r="63" spans="1:6" ht="18.75" hidden="1">
      <c r="A63" s="40" t="s">
        <v>34</v>
      </c>
      <c r="B63" s="35">
        <v>2210</v>
      </c>
      <c r="C63" s="78"/>
      <c r="D63" s="79"/>
    </row>
    <row r="64" spans="1:6" ht="18.75" hidden="1">
      <c r="A64" s="40" t="s">
        <v>40</v>
      </c>
      <c r="B64" s="35">
        <v>2210</v>
      </c>
      <c r="C64" s="78"/>
      <c r="D64" s="79"/>
    </row>
    <row r="65" spans="1:4" ht="18.75">
      <c r="A65" s="40" t="s">
        <v>35</v>
      </c>
      <c r="B65" s="35">
        <v>3110</v>
      </c>
      <c r="C65" s="65">
        <v>11100.26</v>
      </c>
      <c r="D65" s="66"/>
    </row>
    <row r="66" spans="1:4" ht="18.75" hidden="1">
      <c r="A66" s="40" t="s">
        <v>37</v>
      </c>
      <c r="B66" s="35">
        <v>2210</v>
      </c>
      <c r="C66" s="78"/>
      <c r="D66" s="79"/>
    </row>
    <row r="67" spans="1:4" ht="18.75" hidden="1">
      <c r="A67" s="40" t="s">
        <v>38</v>
      </c>
      <c r="B67" s="35">
        <v>2210</v>
      </c>
      <c r="C67" s="78"/>
      <c r="D67" s="79"/>
    </row>
    <row r="68" spans="1:4" ht="18.75" hidden="1">
      <c r="A68" s="40" t="s">
        <v>50</v>
      </c>
      <c r="B68" s="35">
        <v>2240</v>
      </c>
      <c r="C68" s="78"/>
      <c r="D68" s="79"/>
    </row>
    <row r="69" spans="1:4" ht="18.75">
      <c r="A69" s="40" t="s">
        <v>42</v>
      </c>
      <c r="B69" s="35">
        <v>2230</v>
      </c>
      <c r="C69" s="65">
        <v>30370.81</v>
      </c>
      <c r="D69" s="66"/>
    </row>
    <row r="70" spans="1:4" ht="18.75" hidden="1">
      <c r="A70" s="40" t="s">
        <v>43</v>
      </c>
      <c r="B70" s="35">
        <v>2210</v>
      </c>
      <c r="C70" s="78"/>
      <c r="D70" s="79"/>
    </row>
    <row r="71" spans="1:4" ht="18.75">
      <c r="A71" s="40" t="s">
        <v>49</v>
      </c>
      <c r="B71" s="35">
        <v>2210</v>
      </c>
      <c r="C71" s="65">
        <f>491.85+597.75</f>
        <v>1089.5999999999999</v>
      </c>
      <c r="D71" s="66"/>
    </row>
    <row r="72" spans="1:4" ht="18.75" hidden="1">
      <c r="A72" s="40" t="s">
        <v>47</v>
      </c>
      <c r="B72" s="35">
        <v>2210</v>
      </c>
      <c r="C72" s="65"/>
      <c r="D72" s="66"/>
    </row>
    <row r="73" spans="1:4" ht="18.75" hidden="1">
      <c r="A73" s="40" t="s">
        <v>46</v>
      </c>
      <c r="B73" s="35">
        <v>2210</v>
      </c>
      <c r="C73" s="65"/>
      <c r="D73" s="66"/>
    </row>
    <row r="74" spans="1:4" ht="18.75" hidden="1">
      <c r="A74" s="40" t="s">
        <v>48</v>
      </c>
      <c r="B74" s="41">
        <v>2210</v>
      </c>
      <c r="C74" s="65"/>
      <c r="D74" s="66"/>
    </row>
    <row r="75" spans="1:4" ht="18.75">
      <c r="A75" s="63"/>
      <c r="B75" s="64"/>
      <c r="C75" s="65"/>
      <c r="D75" s="66"/>
    </row>
    <row r="76" spans="1:4" ht="18.75">
      <c r="A76" s="63"/>
      <c r="B76" s="64"/>
      <c r="C76" s="73">
        <f>SUM(C58:D75)</f>
        <v>45960.67</v>
      </c>
      <c r="D76" s="74"/>
    </row>
  </sheetData>
  <mergeCells count="30">
    <mergeCell ref="C69:D69"/>
    <mergeCell ref="C70:D70"/>
    <mergeCell ref="A76:B76"/>
    <mergeCell ref="C76:D76"/>
    <mergeCell ref="C71:D71"/>
    <mergeCell ref="C72:D72"/>
    <mergeCell ref="C73:D73"/>
    <mergeCell ref="C74:D74"/>
    <mergeCell ref="A75:B75"/>
    <mergeCell ref="C75:D75"/>
    <mergeCell ref="C64:D64"/>
    <mergeCell ref="C65:D65"/>
    <mergeCell ref="C66:D66"/>
    <mergeCell ref="C67:D67"/>
    <mergeCell ref="C68:D68"/>
    <mergeCell ref="A3:D3"/>
    <mergeCell ref="A2:D2"/>
    <mergeCell ref="A5:D5"/>
    <mergeCell ref="A27:D27"/>
    <mergeCell ref="A40:D40"/>
    <mergeCell ref="A54:D54"/>
    <mergeCell ref="A55:D55"/>
    <mergeCell ref="C62:D62"/>
    <mergeCell ref="C63:D63"/>
    <mergeCell ref="C59:D59"/>
    <mergeCell ref="C60:D60"/>
    <mergeCell ref="C61:D61"/>
    <mergeCell ref="A57:B57"/>
    <mergeCell ref="C57:D57"/>
    <mergeCell ref="C58:D5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2:I75"/>
  <sheetViews>
    <sheetView workbookViewId="0">
      <selection activeCell="F5" sqref="F1:F1048576"/>
    </sheetView>
  </sheetViews>
  <sheetFormatPr defaultRowHeight="15"/>
  <cols>
    <col min="1" max="1" width="40.875" style="3" customWidth="1"/>
    <col min="2" max="2" width="8.875" style="1" customWidth="1"/>
    <col min="3" max="3" width="17.875" customWidth="1"/>
    <col min="4" max="4" width="17.5" customWidth="1"/>
    <col min="5" max="5" width="10.375" hidden="1" customWidth="1"/>
    <col min="6" max="6" width="11" hidden="1" customWidth="1"/>
  </cols>
  <sheetData>
    <row r="2" spans="1:6" ht="55.5" customHeight="1">
      <c r="A2" s="61" t="s">
        <v>68</v>
      </c>
      <c r="B2" s="62"/>
      <c r="C2" s="62"/>
      <c r="D2" s="62"/>
    </row>
    <row r="3" spans="1:6" ht="82.5" customHeight="1">
      <c r="A3" s="70" t="s">
        <v>56</v>
      </c>
      <c r="B3" s="71"/>
      <c r="C3" s="71"/>
      <c r="D3" s="71"/>
    </row>
    <row r="4" spans="1:6" ht="18.75">
      <c r="A4" s="6"/>
      <c r="B4" s="7"/>
      <c r="C4" s="8"/>
      <c r="D4" s="8"/>
    </row>
    <row r="5" spans="1:6" ht="41.25" customHeight="1">
      <c r="A5" s="67" t="s">
        <v>24</v>
      </c>
      <c r="B5" s="68"/>
      <c r="C5" s="68"/>
      <c r="D5" s="68"/>
    </row>
    <row r="6" spans="1:6" s="2" customFormat="1" ht="70.5" customHeight="1">
      <c r="A6" s="9" t="s">
        <v>0</v>
      </c>
      <c r="B6" s="9" t="s">
        <v>1</v>
      </c>
      <c r="C6" s="10" t="s">
        <v>23</v>
      </c>
      <c r="D6" s="10" t="s">
        <v>17</v>
      </c>
    </row>
    <row r="7" spans="1:6" s="2" customFormat="1" ht="18.75">
      <c r="A7" s="21" t="s">
        <v>22</v>
      </c>
      <c r="B7" s="16">
        <v>2111</v>
      </c>
      <c r="C7" s="23">
        <f>2637684+64130+200000</f>
        <v>2901814</v>
      </c>
      <c r="D7" s="23">
        <f>2817275.49+51721.8</f>
        <v>2868997.29</v>
      </c>
      <c r="E7" s="26">
        <f>C7-D7</f>
        <v>32816.709999999963</v>
      </c>
      <c r="F7" s="26">
        <f>C7-D7</f>
        <v>32816.709999999963</v>
      </c>
    </row>
    <row r="8" spans="1:6" s="2" customFormat="1" ht="18.75">
      <c r="A8" s="21" t="s">
        <v>44</v>
      </c>
      <c r="B8" s="16">
        <v>2120</v>
      </c>
      <c r="C8" s="23">
        <f>567455+14110+25000+40000+10000</f>
        <v>656565</v>
      </c>
      <c r="D8" s="23">
        <f>11378.81+627322.03</f>
        <v>638700.84000000008</v>
      </c>
      <c r="E8" s="26">
        <f t="shared" ref="E8:E25" si="0">C8-D8</f>
        <v>17864.159999999916</v>
      </c>
      <c r="F8" s="26">
        <f t="shared" ref="F8:F25" si="1">C8-D8</f>
        <v>17864.159999999916</v>
      </c>
    </row>
    <row r="9" spans="1:6" ht="37.5">
      <c r="A9" s="11" t="s">
        <v>2</v>
      </c>
      <c r="B9" s="16">
        <v>2210</v>
      </c>
      <c r="C9" s="13">
        <f>23944+17400+60000</f>
        <v>101344</v>
      </c>
      <c r="D9" s="13">
        <f>6182.5+88747.53</f>
        <v>94930.03</v>
      </c>
      <c r="E9" s="26">
        <f t="shared" si="0"/>
        <v>6413.9700000000012</v>
      </c>
      <c r="F9" s="26">
        <f t="shared" si="1"/>
        <v>6413.9700000000012</v>
      </c>
    </row>
    <row r="10" spans="1:6" ht="18.75">
      <c r="A10" s="11" t="s">
        <v>3</v>
      </c>
      <c r="B10" s="16">
        <v>2230</v>
      </c>
      <c r="C10" s="13">
        <f>158600+40000</f>
        <v>198600</v>
      </c>
      <c r="D10" s="13">
        <v>193420.28</v>
      </c>
      <c r="E10" s="26">
        <f t="shared" si="0"/>
        <v>5179.7200000000012</v>
      </c>
      <c r="F10" s="26">
        <f t="shared" si="1"/>
        <v>5179.7200000000012</v>
      </c>
    </row>
    <row r="11" spans="1:6" ht="18.75">
      <c r="A11" s="11" t="s">
        <v>4</v>
      </c>
      <c r="B11" s="16">
        <v>2240</v>
      </c>
      <c r="C11" s="13">
        <f>148860-9000-50000</f>
        <v>89860</v>
      </c>
      <c r="D11" s="13">
        <v>87999.25</v>
      </c>
      <c r="E11" s="26">
        <f t="shared" si="0"/>
        <v>1860.75</v>
      </c>
      <c r="F11" s="26">
        <f t="shared" si="1"/>
        <v>1860.75</v>
      </c>
    </row>
    <row r="12" spans="1:6" ht="18.75">
      <c r="A12" s="11" t="s">
        <v>5</v>
      </c>
      <c r="B12" s="16">
        <v>2250</v>
      </c>
      <c r="C12" s="13">
        <v>900</v>
      </c>
      <c r="D12" s="13">
        <v>900</v>
      </c>
      <c r="E12" s="26">
        <f t="shared" si="0"/>
        <v>0</v>
      </c>
      <c r="F12" s="26">
        <f t="shared" si="1"/>
        <v>0</v>
      </c>
    </row>
    <row r="13" spans="1:6" ht="18.75" hidden="1">
      <c r="A13" s="11" t="s">
        <v>6</v>
      </c>
      <c r="B13" s="16">
        <v>2271</v>
      </c>
      <c r="C13" s="13"/>
      <c r="D13" s="13"/>
      <c r="E13" s="26">
        <f t="shared" si="0"/>
        <v>0</v>
      </c>
      <c r="F13" s="26">
        <f t="shared" si="1"/>
        <v>0</v>
      </c>
    </row>
    <row r="14" spans="1:6" ht="37.5">
      <c r="A14" s="11" t="s">
        <v>7</v>
      </c>
      <c r="B14" s="16">
        <v>2272</v>
      </c>
      <c r="C14" s="13">
        <v>14510</v>
      </c>
      <c r="D14" s="13">
        <v>5617.1</v>
      </c>
      <c r="E14" s="26">
        <f t="shared" si="0"/>
        <v>8892.9</v>
      </c>
      <c r="F14" s="26">
        <f t="shared" si="1"/>
        <v>8892.9</v>
      </c>
    </row>
    <row r="15" spans="1:6" ht="18.75">
      <c r="A15" s="11" t="s">
        <v>8</v>
      </c>
      <c r="B15" s="16">
        <v>2273</v>
      </c>
      <c r="C15" s="13">
        <f>75440-5800</f>
        <v>69640</v>
      </c>
      <c r="D15" s="13">
        <v>68233.960000000006</v>
      </c>
      <c r="E15" s="26">
        <f t="shared" si="0"/>
        <v>1406.0399999999936</v>
      </c>
      <c r="F15" s="26">
        <f t="shared" si="1"/>
        <v>1406.0399999999936</v>
      </c>
    </row>
    <row r="16" spans="1:6" ht="18.75">
      <c r="A16" s="11" t="s">
        <v>9</v>
      </c>
      <c r="B16" s="16">
        <v>2274</v>
      </c>
      <c r="C16" s="13">
        <f>70070+147000+103000</f>
        <v>320070</v>
      </c>
      <c r="D16" s="13">
        <v>318878.24</v>
      </c>
      <c r="E16" s="26">
        <f t="shared" si="0"/>
        <v>1191.7600000000093</v>
      </c>
      <c r="F16" s="26">
        <f t="shared" si="1"/>
        <v>1191.7600000000093</v>
      </c>
    </row>
    <row r="17" spans="1:9" ht="18.75" hidden="1">
      <c r="A17" s="11" t="s">
        <v>10</v>
      </c>
      <c r="B17" s="16">
        <v>2275</v>
      </c>
      <c r="C17" s="13"/>
      <c r="D17" s="13"/>
      <c r="E17" s="26">
        <f t="shared" si="0"/>
        <v>0</v>
      </c>
      <c r="F17" s="26">
        <f t="shared" si="1"/>
        <v>0</v>
      </c>
    </row>
    <row r="18" spans="1:9" ht="28.5" customHeight="1">
      <c r="A18" s="11" t="s">
        <v>11</v>
      </c>
      <c r="B18" s="16">
        <v>2282</v>
      </c>
      <c r="C18" s="13">
        <f>1600+500-50</f>
        <v>2050</v>
      </c>
      <c r="D18" s="13">
        <v>2001.58</v>
      </c>
      <c r="E18" s="26">
        <f t="shared" si="0"/>
        <v>48.420000000000073</v>
      </c>
      <c r="F18" s="26">
        <f t="shared" si="1"/>
        <v>48.420000000000073</v>
      </c>
    </row>
    <row r="19" spans="1:9" ht="18" hidden="1" customHeight="1">
      <c r="A19" s="11" t="s">
        <v>14</v>
      </c>
      <c r="B19" s="16">
        <v>2730</v>
      </c>
      <c r="C19" s="13"/>
      <c r="D19" s="13"/>
      <c r="E19" s="26">
        <f t="shared" si="0"/>
        <v>0</v>
      </c>
      <c r="F19" s="26">
        <f t="shared" si="1"/>
        <v>0</v>
      </c>
    </row>
    <row r="20" spans="1:9" ht="15.75" customHeight="1">
      <c r="A20" s="11" t="s">
        <v>15</v>
      </c>
      <c r="B20" s="16">
        <v>2800</v>
      </c>
      <c r="C20" s="13">
        <f>2110-600-400</f>
        <v>1110</v>
      </c>
      <c r="D20" s="13">
        <v>499.76</v>
      </c>
      <c r="E20" s="26">
        <f t="shared" si="0"/>
        <v>610.24</v>
      </c>
      <c r="F20" s="26">
        <f t="shared" si="1"/>
        <v>610.24</v>
      </c>
    </row>
    <row r="21" spans="1:9" ht="31.5" customHeight="1">
      <c r="A21" s="11" t="s">
        <v>12</v>
      </c>
      <c r="B21" s="16">
        <v>3110</v>
      </c>
      <c r="C21" s="13">
        <f>56500+14000</f>
        <v>70500</v>
      </c>
      <c r="D21" s="13">
        <f>55875.82+14000</f>
        <v>69875.820000000007</v>
      </c>
      <c r="E21" s="26">
        <f t="shared" si="0"/>
        <v>624.17999999999302</v>
      </c>
      <c r="F21" s="26">
        <f t="shared" si="1"/>
        <v>624.17999999999302</v>
      </c>
      <c r="H21" s="38"/>
    </row>
    <row r="22" spans="1:9" ht="37.5" hidden="1">
      <c r="A22" s="11" t="s">
        <v>20</v>
      </c>
      <c r="B22" s="16">
        <v>3122</v>
      </c>
      <c r="C22" s="13"/>
      <c r="D22" s="13"/>
      <c r="E22" s="26">
        <f t="shared" si="0"/>
        <v>0</v>
      </c>
      <c r="F22" s="26">
        <f t="shared" si="1"/>
        <v>0</v>
      </c>
      <c r="I22" t="s">
        <v>19</v>
      </c>
    </row>
    <row r="23" spans="1:9" ht="18.75">
      <c r="A23" s="11" t="s">
        <v>21</v>
      </c>
      <c r="B23" s="16">
        <v>3132</v>
      </c>
      <c r="C23" s="13">
        <v>200412</v>
      </c>
      <c r="D23" s="13">
        <v>200412</v>
      </c>
      <c r="E23" s="26">
        <f t="shared" si="0"/>
        <v>0</v>
      </c>
      <c r="F23" s="26">
        <f t="shared" si="1"/>
        <v>0</v>
      </c>
    </row>
    <row r="24" spans="1:9" ht="37.5" hidden="1">
      <c r="A24" s="32" t="s">
        <v>45</v>
      </c>
      <c r="B24" s="16">
        <v>3142</v>
      </c>
      <c r="C24" s="13"/>
      <c r="D24" s="13"/>
      <c r="E24" s="26">
        <f t="shared" si="0"/>
        <v>0</v>
      </c>
      <c r="F24" s="26">
        <f t="shared" si="1"/>
        <v>0</v>
      </c>
    </row>
    <row r="25" spans="1:9" ht="18.75">
      <c r="A25" s="11" t="s">
        <v>13</v>
      </c>
      <c r="B25" s="16"/>
      <c r="C25" s="14">
        <f>SUM(C7:C24)</f>
        <v>4627375</v>
      </c>
      <c r="D25" s="14">
        <f>SUM(D7:D24)</f>
        <v>4550466.1499999994</v>
      </c>
      <c r="E25" s="26">
        <f t="shared" si="0"/>
        <v>76908.850000000559</v>
      </c>
      <c r="F25" s="26">
        <f t="shared" si="1"/>
        <v>76908.850000000559</v>
      </c>
    </row>
    <row r="26" spans="1:9">
      <c r="C26" s="4"/>
      <c r="D26" s="4"/>
    </row>
    <row r="27" spans="1:9" ht="30.75" hidden="1" customHeight="1">
      <c r="A27" s="61" t="s">
        <v>25</v>
      </c>
      <c r="B27" s="69"/>
      <c r="C27" s="69"/>
      <c r="D27" s="69"/>
    </row>
    <row r="28" spans="1:9" hidden="1">
      <c r="D28" s="30"/>
    </row>
    <row r="29" spans="1:9" ht="56.25" hidden="1">
      <c r="A29" s="15" t="s">
        <v>0</v>
      </c>
      <c r="B29" s="15" t="s">
        <v>1</v>
      </c>
      <c r="C29" s="10" t="s">
        <v>23</v>
      </c>
      <c r="D29" s="10" t="s">
        <v>18</v>
      </c>
    </row>
    <row r="30" spans="1:9" ht="37.5" hidden="1">
      <c r="A30" s="11" t="s">
        <v>2</v>
      </c>
      <c r="B30" s="17">
        <v>2210</v>
      </c>
      <c r="C30" s="13"/>
      <c r="D30" s="13"/>
      <c r="F30" s="26"/>
    </row>
    <row r="31" spans="1:9" ht="18.75" hidden="1">
      <c r="A31" s="12" t="s">
        <v>3</v>
      </c>
      <c r="B31" s="17">
        <v>2230</v>
      </c>
      <c r="C31" s="13"/>
      <c r="D31" s="13"/>
      <c r="F31" s="26"/>
    </row>
    <row r="32" spans="1:9" ht="18.75" hidden="1">
      <c r="A32" s="12" t="s">
        <v>4</v>
      </c>
      <c r="B32" s="17">
        <v>2240</v>
      </c>
      <c r="C32" s="13"/>
      <c r="D32" s="13"/>
      <c r="F32" s="26"/>
    </row>
    <row r="33" spans="1:6" ht="18.75" hidden="1">
      <c r="A33" s="34" t="s">
        <v>10</v>
      </c>
      <c r="B33" s="16">
        <v>2275</v>
      </c>
      <c r="C33" s="13"/>
      <c r="D33" s="13"/>
      <c r="F33" s="26"/>
    </row>
    <row r="34" spans="1:6" ht="18.75" hidden="1">
      <c r="A34" s="11" t="s">
        <v>15</v>
      </c>
      <c r="B34" s="17">
        <v>2800</v>
      </c>
      <c r="C34" s="13"/>
      <c r="D34" s="13"/>
      <c r="F34" s="26"/>
    </row>
    <row r="35" spans="1:6" ht="37.5" hidden="1">
      <c r="A35" s="11" t="s">
        <v>12</v>
      </c>
      <c r="B35" s="17">
        <v>3110</v>
      </c>
      <c r="C35" s="13"/>
      <c r="D35" s="13"/>
      <c r="F35" s="26"/>
    </row>
    <row r="36" spans="1:6" ht="18.75" hidden="1">
      <c r="A36" s="18" t="s">
        <v>16</v>
      </c>
      <c r="B36" s="19">
        <v>3132</v>
      </c>
      <c r="C36" s="20"/>
      <c r="D36" s="20"/>
      <c r="F36" s="26"/>
    </row>
    <row r="37" spans="1:6" ht="18.75" hidden="1">
      <c r="A37" s="11" t="s">
        <v>13</v>
      </c>
      <c r="B37" s="17"/>
      <c r="C37" s="14">
        <f>SUM(C30:C36)</f>
        <v>0</v>
      </c>
      <c r="D37" s="14">
        <f>SUM(D30:D36)</f>
        <v>0</v>
      </c>
      <c r="F37" s="26"/>
    </row>
    <row r="38" spans="1:6" hidden="1">
      <c r="A38" s="1"/>
      <c r="B38" s="5"/>
      <c r="C38" s="4"/>
      <c r="D38" s="4"/>
    </row>
    <row r="39" spans="1:6">
      <c r="A39" s="1"/>
      <c r="B39" s="5"/>
      <c r="C39" s="4"/>
      <c r="D39" s="4"/>
    </row>
    <row r="40" spans="1:6" ht="33.75" customHeight="1">
      <c r="A40" s="56" t="s">
        <v>26</v>
      </c>
      <c r="B40" s="57"/>
      <c r="C40" s="57"/>
      <c r="D40" s="57"/>
    </row>
    <row r="41" spans="1:6">
      <c r="A41" s="1"/>
      <c r="B41" s="5"/>
      <c r="C41" s="4"/>
      <c r="D41" s="4"/>
    </row>
    <row r="42" spans="1:6" ht="56.25">
      <c r="A42" s="15" t="s">
        <v>0</v>
      </c>
      <c r="B42" s="15" t="s">
        <v>1</v>
      </c>
      <c r="C42" s="10" t="s">
        <v>23</v>
      </c>
      <c r="D42" s="10" t="s">
        <v>18</v>
      </c>
    </row>
    <row r="43" spans="1:6" ht="37.5">
      <c r="A43" s="11" t="s">
        <v>2</v>
      </c>
      <c r="B43" s="17">
        <v>2210</v>
      </c>
      <c r="C43" s="37">
        <v>1084.74</v>
      </c>
      <c r="D43" s="37">
        <v>1084.74</v>
      </c>
      <c r="F43" s="26"/>
    </row>
    <row r="44" spans="1:6" ht="18.75">
      <c r="A44" s="12" t="s">
        <v>3</v>
      </c>
      <c r="B44" s="17">
        <v>2230</v>
      </c>
      <c r="C44" s="37">
        <v>26913.35</v>
      </c>
      <c r="D44" s="37">
        <v>26913.35</v>
      </c>
      <c r="F44" s="26"/>
    </row>
    <row r="45" spans="1:6" ht="18.75" hidden="1">
      <c r="A45" s="12" t="s">
        <v>4</v>
      </c>
      <c r="B45" s="17">
        <v>2240</v>
      </c>
      <c r="C45" s="37"/>
      <c r="D45" s="37"/>
      <c r="F45" s="26"/>
    </row>
    <row r="46" spans="1:6" ht="18.75" hidden="1">
      <c r="A46" s="40" t="s">
        <v>10</v>
      </c>
      <c r="B46" s="17">
        <v>2275</v>
      </c>
      <c r="C46" s="37"/>
      <c r="D46" s="37"/>
      <c r="F46" s="26"/>
    </row>
    <row r="47" spans="1:6" ht="18.75" hidden="1">
      <c r="A47" s="11" t="s">
        <v>15</v>
      </c>
      <c r="B47" s="17">
        <v>2800</v>
      </c>
      <c r="C47" s="37"/>
      <c r="D47" s="37"/>
      <c r="F47" s="26"/>
    </row>
    <row r="48" spans="1:6" ht="37.5">
      <c r="A48" s="11" t="s">
        <v>12</v>
      </c>
      <c r="B48" s="17">
        <v>3110</v>
      </c>
      <c r="C48" s="37">
        <v>28047.25</v>
      </c>
      <c r="D48" s="37">
        <v>28047.25</v>
      </c>
      <c r="F48" s="26"/>
    </row>
    <row r="49" spans="1:6" ht="18.75" hidden="1">
      <c r="A49" s="18" t="s">
        <v>16</v>
      </c>
      <c r="B49" s="19">
        <v>3132</v>
      </c>
      <c r="C49" s="20"/>
      <c r="D49" s="20"/>
      <c r="F49" s="26"/>
    </row>
    <row r="50" spans="1:6" ht="18.75">
      <c r="A50" s="11" t="s">
        <v>13</v>
      </c>
      <c r="B50" s="17"/>
      <c r="C50" s="14">
        <f>C43+C44+C47+C48+C49</f>
        <v>56045.34</v>
      </c>
      <c r="D50" s="14">
        <f>D43+D44+D47+D48+D49</f>
        <v>56045.34</v>
      </c>
      <c r="F50" s="26"/>
    </row>
    <row r="54" spans="1:6" ht="33.75" customHeight="1">
      <c r="A54" s="56" t="s">
        <v>69</v>
      </c>
      <c r="B54" s="57"/>
      <c r="C54" s="57"/>
      <c r="D54" s="57"/>
    </row>
    <row r="56" spans="1:6" ht="18.75">
      <c r="A56" s="58" t="s">
        <v>27</v>
      </c>
      <c r="B56" s="59"/>
      <c r="C56" s="60" t="s">
        <v>28</v>
      </c>
      <c r="D56" s="59"/>
    </row>
    <row r="57" spans="1:6" ht="18.75" hidden="1">
      <c r="A57" s="40" t="s">
        <v>39</v>
      </c>
      <c r="B57" s="35">
        <v>2210</v>
      </c>
      <c r="C57" s="77"/>
      <c r="D57" s="77"/>
    </row>
    <row r="58" spans="1:6" ht="18.75" hidden="1">
      <c r="A58" s="40" t="s">
        <v>33</v>
      </c>
      <c r="B58" s="35">
        <v>2210</v>
      </c>
      <c r="C58" s="75"/>
      <c r="D58" s="76"/>
    </row>
    <row r="59" spans="1:6" ht="18.75" hidden="1">
      <c r="A59" s="40" t="s">
        <v>36</v>
      </c>
      <c r="B59" s="35">
        <v>2210</v>
      </c>
      <c r="C59" s="75"/>
      <c r="D59" s="76"/>
    </row>
    <row r="60" spans="1:6" ht="18.75" hidden="1">
      <c r="A60" s="40" t="s">
        <v>41</v>
      </c>
      <c r="B60" s="36">
        <v>3110.221</v>
      </c>
      <c r="C60" s="65"/>
      <c r="D60" s="66"/>
    </row>
    <row r="61" spans="1:6" ht="18.75" hidden="1">
      <c r="A61" s="40" t="s">
        <v>32</v>
      </c>
      <c r="B61" s="35">
        <v>2210</v>
      </c>
      <c r="C61" s="75"/>
      <c r="D61" s="76"/>
    </row>
    <row r="62" spans="1:6" ht="18.75" hidden="1">
      <c r="A62" s="40" t="s">
        <v>34</v>
      </c>
      <c r="B62" s="35">
        <v>2210</v>
      </c>
      <c r="C62" s="75"/>
      <c r="D62" s="76"/>
    </row>
    <row r="63" spans="1:6" ht="18.75" hidden="1">
      <c r="A63" s="40" t="s">
        <v>40</v>
      </c>
      <c r="B63" s="35">
        <v>2210</v>
      </c>
      <c r="C63" s="75"/>
      <c r="D63" s="76"/>
    </row>
    <row r="64" spans="1:6" ht="18.75">
      <c r="A64" s="40" t="s">
        <v>35</v>
      </c>
      <c r="B64" s="35">
        <v>3110</v>
      </c>
      <c r="C64" s="65">
        <v>28047.25</v>
      </c>
      <c r="D64" s="66"/>
    </row>
    <row r="65" spans="1:4" ht="18.75" hidden="1">
      <c r="A65" s="40" t="s">
        <v>37</v>
      </c>
      <c r="B65" s="35">
        <v>2210</v>
      </c>
      <c r="C65" s="78"/>
      <c r="D65" s="79"/>
    </row>
    <row r="66" spans="1:4" ht="18.75" hidden="1">
      <c r="A66" s="40" t="s">
        <v>38</v>
      </c>
      <c r="B66" s="35">
        <v>2210</v>
      </c>
      <c r="C66" s="78"/>
      <c r="D66" s="79"/>
    </row>
    <row r="67" spans="1:4" ht="18.75" hidden="1">
      <c r="A67" s="40" t="s">
        <v>50</v>
      </c>
      <c r="B67" s="35">
        <v>2240</v>
      </c>
      <c r="C67" s="78"/>
      <c r="D67" s="79"/>
    </row>
    <row r="68" spans="1:4" ht="18.75">
      <c r="A68" s="40" t="s">
        <v>42</v>
      </c>
      <c r="B68" s="35">
        <v>2230</v>
      </c>
      <c r="C68" s="65">
        <v>26913.35</v>
      </c>
      <c r="D68" s="66"/>
    </row>
    <row r="69" spans="1:4" ht="18.75" hidden="1">
      <c r="A69" s="40" t="s">
        <v>43</v>
      </c>
      <c r="B69" s="35">
        <v>2210</v>
      </c>
      <c r="C69" s="78"/>
      <c r="D69" s="79"/>
    </row>
    <row r="70" spans="1:4" ht="18.75">
      <c r="A70" s="40" t="s">
        <v>49</v>
      </c>
      <c r="B70" s="35">
        <v>2210</v>
      </c>
      <c r="C70" s="65">
        <v>1084.74</v>
      </c>
      <c r="D70" s="66"/>
    </row>
    <row r="71" spans="1:4" ht="18.75" hidden="1">
      <c r="A71" s="40" t="s">
        <v>47</v>
      </c>
      <c r="B71" s="35">
        <v>2210</v>
      </c>
      <c r="C71" s="65"/>
      <c r="D71" s="66"/>
    </row>
    <row r="72" spans="1:4" ht="18.75" hidden="1">
      <c r="A72" s="40" t="s">
        <v>46</v>
      </c>
      <c r="B72" s="35">
        <v>2210</v>
      </c>
      <c r="C72" s="65"/>
      <c r="D72" s="66"/>
    </row>
    <row r="73" spans="1:4" ht="18.75" hidden="1">
      <c r="A73" s="40" t="s">
        <v>48</v>
      </c>
      <c r="B73" s="41">
        <v>2210</v>
      </c>
      <c r="C73" s="65"/>
      <c r="D73" s="66"/>
    </row>
    <row r="74" spans="1:4" ht="18.75">
      <c r="A74" s="63"/>
      <c r="B74" s="64"/>
      <c r="C74" s="65"/>
      <c r="D74" s="66"/>
    </row>
    <row r="75" spans="1:4" ht="18.75">
      <c r="A75" s="63"/>
      <c r="B75" s="64"/>
      <c r="C75" s="73">
        <f>SUM(C57:D74)</f>
        <v>56045.34</v>
      </c>
      <c r="D75" s="74"/>
    </row>
  </sheetData>
  <mergeCells count="29">
    <mergeCell ref="A74:B74"/>
    <mergeCell ref="C74:D74"/>
    <mergeCell ref="A75:B75"/>
    <mergeCell ref="C75:D75"/>
    <mergeCell ref="C69:D69"/>
    <mergeCell ref="C70:D70"/>
    <mergeCell ref="C71:D71"/>
    <mergeCell ref="C72:D72"/>
    <mergeCell ref="C73:D73"/>
    <mergeCell ref="A56:B56"/>
    <mergeCell ref="C56:D56"/>
    <mergeCell ref="C57:D57"/>
    <mergeCell ref="C67:D67"/>
    <mergeCell ref="C68:D68"/>
    <mergeCell ref="C65:D65"/>
    <mergeCell ref="C66:D66"/>
    <mergeCell ref="C63:D63"/>
    <mergeCell ref="C64:D64"/>
    <mergeCell ref="C58:D58"/>
    <mergeCell ref="C59:D59"/>
    <mergeCell ref="C62:D62"/>
    <mergeCell ref="C60:D60"/>
    <mergeCell ref="C61:D61"/>
    <mergeCell ref="A2:D2"/>
    <mergeCell ref="A5:D5"/>
    <mergeCell ref="A27:D27"/>
    <mergeCell ref="A40:D40"/>
    <mergeCell ref="A54:D54"/>
    <mergeCell ref="A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I75"/>
  <sheetViews>
    <sheetView workbookViewId="0">
      <selection activeCell="F1" sqref="F1:F1048576"/>
    </sheetView>
  </sheetViews>
  <sheetFormatPr defaultRowHeight="15"/>
  <cols>
    <col min="1" max="1" width="40.875" style="3" customWidth="1"/>
    <col min="2" max="2" width="9.125" style="1" customWidth="1"/>
    <col min="3" max="3" width="14.875" customWidth="1"/>
    <col min="4" max="4" width="14.75" customWidth="1"/>
    <col min="5" max="5" width="10" hidden="1" customWidth="1"/>
    <col min="6" max="6" width="11.125" hidden="1" customWidth="1"/>
  </cols>
  <sheetData>
    <row r="2" spans="1:6" ht="57" customHeight="1">
      <c r="A2" s="61" t="s">
        <v>68</v>
      </c>
      <c r="B2" s="62"/>
      <c r="C2" s="62"/>
      <c r="D2" s="62"/>
    </row>
    <row r="3" spans="1:6" ht="82.5" customHeight="1">
      <c r="A3" s="70" t="s">
        <v>57</v>
      </c>
      <c r="B3" s="71"/>
      <c r="C3" s="71"/>
      <c r="D3" s="71"/>
    </row>
    <row r="4" spans="1:6" ht="18.75">
      <c r="A4" s="6"/>
      <c r="B4" s="7"/>
      <c r="C4" s="8"/>
      <c r="D4" s="8"/>
    </row>
    <row r="5" spans="1:6" ht="42" customHeight="1">
      <c r="A5" s="67" t="s">
        <v>24</v>
      </c>
      <c r="B5" s="68"/>
      <c r="C5" s="68"/>
      <c r="D5" s="68"/>
    </row>
    <row r="6" spans="1:6" s="2" customFormat="1" ht="74.25" customHeight="1">
      <c r="A6" s="9" t="s">
        <v>0</v>
      </c>
      <c r="B6" s="9" t="s">
        <v>1</v>
      </c>
      <c r="C6" s="10" t="s">
        <v>23</v>
      </c>
      <c r="D6" s="10" t="s">
        <v>17</v>
      </c>
    </row>
    <row r="7" spans="1:6" s="2" customFormat="1" ht="18.75">
      <c r="A7" s="21" t="s">
        <v>22</v>
      </c>
      <c r="B7" s="16">
        <v>2111</v>
      </c>
      <c r="C7" s="23">
        <f>2086320+253210+25000</f>
        <v>2364530</v>
      </c>
      <c r="D7" s="23">
        <f>2093514.25+253471.84</f>
        <v>2346986.09</v>
      </c>
      <c r="E7" s="26">
        <f>C7-D7</f>
        <v>17543.910000000149</v>
      </c>
      <c r="F7" s="26">
        <f>C7-D7</f>
        <v>17543.910000000149</v>
      </c>
    </row>
    <row r="8" spans="1:6" s="2" customFormat="1" ht="18.75">
      <c r="A8" s="21" t="s">
        <v>44</v>
      </c>
      <c r="B8" s="16">
        <v>2120</v>
      </c>
      <c r="C8" s="23">
        <f>466990+55710+25000+16000</f>
        <v>563700</v>
      </c>
      <c r="D8" s="23">
        <f>61347.46+482652.83</f>
        <v>544000.29</v>
      </c>
      <c r="E8" s="26">
        <f t="shared" ref="E8:E25" si="0">C8-D8</f>
        <v>19699.709999999963</v>
      </c>
      <c r="F8" s="26">
        <f t="shared" ref="F8:F25" si="1">C8-D8</f>
        <v>19699.709999999963</v>
      </c>
    </row>
    <row r="9" spans="1:6" ht="37.5">
      <c r="A9" s="11" t="s">
        <v>2</v>
      </c>
      <c r="B9" s="16">
        <v>2210</v>
      </c>
      <c r="C9" s="13">
        <f>11061+1730+7941+15000</f>
        <v>35732</v>
      </c>
      <c r="D9" s="13">
        <f>5041.5+26814.76</f>
        <v>31856.26</v>
      </c>
      <c r="E9" s="26">
        <f t="shared" si="0"/>
        <v>3875.7400000000016</v>
      </c>
      <c r="F9" s="26">
        <f t="shared" si="1"/>
        <v>3875.7400000000016</v>
      </c>
    </row>
    <row r="10" spans="1:6" ht="18.75">
      <c r="A10" s="11" t="s">
        <v>3</v>
      </c>
      <c r="B10" s="16">
        <v>2230</v>
      </c>
      <c r="C10" s="13">
        <f>99520+101710</f>
        <v>201230</v>
      </c>
      <c r="D10" s="13">
        <f>98963.76+66027.2</f>
        <v>164990.96</v>
      </c>
      <c r="E10" s="26">
        <f t="shared" si="0"/>
        <v>36239.040000000008</v>
      </c>
      <c r="F10" s="26">
        <f t="shared" si="1"/>
        <v>36239.040000000008</v>
      </c>
    </row>
    <row r="11" spans="1:6" ht="18.75">
      <c r="A11" s="11" t="s">
        <v>4</v>
      </c>
      <c r="B11" s="16">
        <v>2240</v>
      </c>
      <c r="C11" s="13">
        <f>665564+50000+145000+10000</f>
        <v>870564</v>
      </c>
      <c r="D11" s="13">
        <v>860001.58</v>
      </c>
      <c r="E11" s="26">
        <f t="shared" si="0"/>
        <v>10562.420000000042</v>
      </c>
      <c r="F11" s="26">
        <f t="shared" si="1"/>
        <v>10562.420000000042</v>
      </c>
    </row>
    <row r="12" spans="1:6" ht="18.75">
      <c r="A12" s="11" t="s">
        <v>5</v>
      </c>
      <c r="B12" s="16">
        <v>2250</v>
      </c>
      <c r="C12" s="13">
        <v>900</v>
      </c>
      <c r="D12" s="13">
        <v>900</v>
      </c>
      <c r="E12" s="26">
        <f t="shared" si="0"/>
        <v>0</v>
      </c>
      <c r="F12" s="26">
        <f t="shared" si="1"/>
        <v>0</v>
      </c>
    </row>
    <row r="13" spans="1:6" ht="18.75" hidden="1">
      <c r="A13" s="11" t="s">
        <v>6</v>
      </c>
      <c r="B13" s="16">
        <v>2271</v>
      </c>
      <c r="C13" s="13"/>
      <c r="D13" s="13"/>
      <c r="E13" s="26">
        <f t="shared" si="0"/>
        <v>0</v>
      </c>
      <c r="F13" s="26">
        <f t="shared" si="1"/>
        <v>0</v>
      </c>
    </row>
    <row r="14" spans="1:6" ht="37.5" hidden="1">
      <c r="A14" s="11" t="s">
        <v>7</v>
      </c>
      <c r="B14" s="16">
        <v>2272</v>
      </c>
      <c r="C14" s="13"/>
      <c r="D14" s="13"/>
      <c r="E14" s="26">
        <f t="shared" si="0"/>
        <v>0</v>
      </c>
      <c r="F14" s="26">
        <f t="shared" si="1"/>
        <v>0</v>
      </c>
    </row>
    <row r="15" spans="1:6" ht="18.75">
      <c r="A15" s="11" t="s">
        <v>8</v>
      </c>
      <c r="B15" s="16">
        <v>2273</v>
      </c>
      <c r="C15" s="13">
        <f>72320+5800</f>
        <v>78120</v>
      </c>
      <c r="D15" s="13">
        <v>78024.350000000006</v>
      </c>
      <c r="E15" s="26">
        <f t="shared" si="0"/>
        <v>95.649999999994179</v>
      </c>
      <c r="F15" s="26">
        <f t="shared" si="1"/>
        <v>95.649999999994179</v>
      </c>
    </row>
    <row r="16" spans="1:6" ht="18.75">
      <c r="A16" s="11" t="s">
        <v>9</v>
      </c>
      <c r="B16" s="16">
        <v>2274</v>
      </c>
      <c r="C16" s="13">
        <f>669860-103000</f>
        <v>566860</v>
      </c>
      <c r="D16" s="13">
        <v>310133.88</v>
      </c>
      <c r="E16" s="26">
        <f t="shared" si="0"/>
        <v>256726.12</v>
      </c>
      <c r="F16" s="26">
        <f t="shared" si="1"/>
        <v>256726.12</v>
      </c>
    </row>
    <row r="17" spans="1:9" ht="18.75" hidden="1">
      <c r="A17" s="11" t="s">
        <v>10</v>
      </c>
      <c r="B17" s="16">
        <v>2275</v>
      </c>
      <c r="C17" s="13"/>
      <c r="D17" s="13"/>
      <c r="E17" s="26">
        <f t="shared" si="0"/>
        <v>0</v>
      </c>
      <c r="F17" s="26">
        <f t="shared" si="1"/>
        <v>0</v>
      </c>
    </row>
    <row r="18" spans="1:9" ht="33.75" customHeight="1">
      <c r="A18" s="11" t="s">
        <v>11</v>
      </c>
      <c r="B18" s="16">
        <v>2282</v>
      </c>
      <c r="C18" s="13">
        <f>1600+500</f>
        <v>2100</v>
      </c>
      <c r="D18" s="13">
        <v>2001.58</v>
      </c>
      <c r="E18" s="26">
        <f t="shared" si="0"/>
        <v>98.420000000000073</v>
      </c>
      <c r="F18" s="26">
        <f t="shared" si="1"/>
        <v>98.420000000000073</v>
      </c>
    </row>
    <row r="19" spans="1:9" ht="18" hidden="1" customHeight="1">
      <c r="A19" s="11" t="s">
        <v>14</v>
      </c>
      <c r="B19" s="16">
        <v>2730</v>
      </c>
      <c r="C19" s="13"/>
      <c r="D19" s="13"/>
      <c r="E19" s="26">
        <f t="shared" si="0"/>
        <v>0</v>
      </c>
      <c r="F19" s="26">
        <f t="shared" si="1"/>
        <v>0</v>
      </c>
    </row>
    <row r="20" spans="1:9" ht="15.75" customHeight="1">
      <c r="A20" s="11" t="s">
        <v>15</v>
      </c>
      <c r="B20" s="16">
        <v>2800</v>
      </c>
      <c r="C20" s="13">
        <f>180+600</f>
        <v>780</v>
      </c>
      <c r="D20" s="13">
        <v>732.51</v>
      </c>
      <c r="E20" s="26">
        <f t="shared" si="0"/>
        <v>47.490000000000009</v>
      </c>
      <c r="F20" s="26">
        <f t="shared" si="1"/>
        <v>47.490000000000009</v>
      </c>
    </row>
    <row r="21" spans="1:9" ht="38.25" customHeight="1">
      <c r="A21" s="11" t="s">
        <v>12</v>
      </c>
      <c r="B21" s="16">
        <v>3110</v>
      </c>
      <c r="C21" s="13">
        <f>56000+14000</f>
        <v>70000</v>
      </c>
      <c r="D21" s="13">
        <f>55875.82+14000</f>
        <v>69875.820000000007</v>
      </c>
      <c r="E21" s="26">
        <f t="shared" si="0"/>
        <v>124.17999999999302</v>
      </c>
      <c r="F21" s="26">
        <f t="shared" si="1"/>
        <v>124.17999999999302</v>
      </c>
      <c r="H21" s="38"/>
    </row>
    <row r="22" spans="1:9" ht="37.5" hidden="1">
      <c r="A22" s="11" t="s">
        <v>20</v>
      </c>
      <c r="B22" s="16">
        <v>3122</v>
      </c>
      <c r="C22" s="13"/>
      <c r="D22" s="13"/>
      <c r="E22" s="26">
        <f t="shared" si="0"/>
        <v>0</v>
      </c>
      <c r="F22" s="26">
        <f t="shared" si="1"/>
        <v>0</v>
      </c>
      <c r="I22" t="s">
        <v>19</v>
      </c>
    </row>
    <row r="23" spans="1:9" ht="18.75">
      <c r="A23" s="11" t="s">
        <v>21</v>
      </c>
      <c r="B23" s="16">
        <v>3132</v>
      </c>
      <c r="C23" s="13">
        <v>542137</v>
      </c>
      <c r="D23" s="13">
        <v>542137</v>
      </c>
      <c r="E23" s="26">
        <f t="shared" si="0"/>
        <v>0</v>
      </c>
      <c r="F23" s="26">
        <f t="shared" si="1"/>
        <v>0</v>
      </c>
    </row>
    <row r="24" spans="1:9" ht="37.5" hidden="1">
      <c r="A24" s="32" t="s">
        <v>45</v>
      </c>
      <c r="B24" s="16">
        <v>3142</v>
      </c>
      <c r="C24" s="13"/>
      <c r="D24" s="13"/>
      <c r="E24" s="26">
        <f t="shared" si="0"/>
        <v>0</v>
      </c>
      <c r="F24" s="26">
        <f t="shared" si="1"/>
        <v>0</v>
      </c>
    </row>
    <row r="25" spans="1:9" ht="18.75">
      <c r="A25" s="11" t="s">
        <v>13</v>
      </c>
      <c r="B25" s="16"/>
      <c r="C25" s="14">
        <f>SUM(C7:C24)</f>
        <v>5296653</v>
      </c>
      <c r="D25" s="14">
        <f>SUM(D7:D24)</f>
        <v>4951640.32</v>
      </c>
      <c r="E25" s="26">
        <f t="shared" si="0"/>
        <v>345012.6799999997</v>
      </c>
      <c r="F25" s="26">
        <f t="shared" si="1"/>
        <v>345012.6799999997</v>
      </c>
    </row>
    <row r="26" spans="1:9">
      <c r="C26" s="4"/>
      <c r="D26" s="4"/>
    </row>
    <row r="27" spans="1:9" ht="35.25" customHeight="1">
      <c r="A27" s="61" t="s">
        <v>25</v>
      </c>
      <c r="B27" s="69"/>
      <c r="C27" s="69"/>
      <c r="D27" s="69"/>
    </row>
    <row r="28" spans="1:9" ht="18.75">
      <c r="A28" s="27"/>
      <c r="B28" s="29"/>
      <c r="C28" s="29"/>
      <c r="D28" s="30"/>
    </row>
    <row r="29" spans="1:9" ht="75">
      <c r="A29" s="15" t="s">
        <v>0</v>
      </c>
      <c r="B29" s="15" t="s">
        <v>1</v>
      </c>
      <c r="C29" s="10" t="s">
        <v>23</v>
      </c>
      <c r="D29" s="10" t="s">
        <v>18</v>
      </c>
    </row>
    <row r="30" spans="1:9" ht="37.5" hidden="1">
      <c r="A30" s="11" t="s">
        <v>2</v>
      </c>
      <c r="B30" s="17">
        <v>2210</v>
      </c>
      <c r="C30" s="37"/>
      <c r="D30" s="13"/>
      <c r="F30" s="26"/>
    </row>
    <row r="31" spans="1:9" ht="18.75">
      <c r="A31" s="12" t="s">
        <v>3</v>
      </c>
      <c r="B31" s="17">
        <v>2230</v>
      </c>
      <c r="C31" s="54">
        <v>27314.77</v>
      </c>
      <c r="D31" s="37">
        <v>26441.94</v>
      </c>
      <c r="F31" s="26"/>
    </row>
    <row r="32" spans="1:9" ht="18.75" hidden="1">
      <c r="A32" s="12" t="s">
        <v>4</v>
      </c>
      <c r="B32" s="17">
        <v>2240</v>
      </c>
      <c r="C32" s="13"/>
      <c r="D32" s="13"/>
      <c r="F32" s="26"/>
    </row>
    <row r="33" spans="1:6" ht="18.75" hidden="1">
      <c r="A33" s="12" t="s">
        <v>10</v>
      </c>
      <c r="B33" s="17">
        <v>2275</v>
      </c>
      <c r="C33" s="13"/>
      <c r="D33" s="13"/>
      <c r="F33" s="26"/>
    </row>
    <row r="34" spans="1:6" ht="18.75" hidden="1">
      <c r="A34" s="11" t="s">
        <v>15</v>
      </c>
      <c r="B34" s="17">
        <v>2800</v>
      </c>
      <c r="C34" s="13"/>
      <c r="D34" s="13"/>
      <c r="F34" s="26"/>
    </row>
    <row r="35" spans="1:6" ht="37.5" hidden="1">
      <c r="A35" s="11" t="s">
        <v>12</v>
      </c>
      <c r="B35" s="17">
        <v>3110</v>
      </c>
      <c r="C35" s="13"/>
      <c r="D35" s="13"/>
      <c r="F35" s="26"/>
    </row>
    <row r="36" spans="1:6" ht="18.75" hidden="1">
      <c r="A36" s="18" t="s">
        <v>16</v>
      </c>
      <c r="B36" s="19">
        <v>3132</v>
      </c>
      <c r="C36" s="20"/>
      <c r="D36" s="20"/>
      <c r="F36" s="26"/>
    </row>
    <row r="37" spans="1:6" ht="18.75">
      <c r="A37" s="11" t="s">
        <v>13</v>
      </c>
      <c r="B37" s="17"/>
      <c r="C37" s="14">
        <f>SUM(C30:C36)</f>
        <v>27314.77</v>
      </c>
      <c r="D37" s="14">
        <f>SUM(D30:D36)</f>
        <v>26441.94</v>
      </c>
      <c r="F37" s="26"/>
    </row>
    <row r="38" spans="1:6">
      <c r="A38" s="1"/>
      <c r="B38" s="5"/>
      <c r="C38" s="4"/>
      <c r="D38" s="4"/>
    </row>
    <row r="39" spans="1:6">
      <c r="A39" s="1"/>
      <c r="B39" s="5"/>
      <c r="C39" s="4"/>
      <c r="D39" s="4"/>
    </row>
    <row r="40" spans="1:6" ht="38.25" customHeight="1">
      <c r="A40" s="56" t="s">
        <v>26</v>
      </c>
      <c r="B40" s="57"/>
      <c r="C40" s="57"/>
      <c r="D40" s="57"/>
    </row>
    <row r="41" spans="1:6">
      <c r="A41" s="1"/>
      <c r="B41" s="5"/>
      <c r="C41" s="4"/>
      <c r="D41" s="4"/>
    </row>
    <row r="42" spans="1:6" ht="75">
      <c r="A42" s="15" t="s">
        <v>0</v>
      </c>
      <c r="B42" s="15" t="s">
        <v>1</v>
      </c>
      <c r="C42" s="10" t="s">
        <v>23</v>
      </c>
      <c r="D42" s="10" t="s">
        <v>18</v>
      </c>
    </row>
    <row r="43" spans="1:6" ht="37.5">
      <c r="A43" s="11" t="s">
        <v>2</v>
      </c>
      <c r="B43" s="17">
        <v>2210</v>
      </c>
      <c r="C43" s="37">
        <v>10548.06</v>
      </c>
      <c r="D43" s="37">
        <v>10548.06</v>
      </c>
      <c r="F43" s="26"/>
    </row>
    <row r="44" spans="1:6" ht="18.75">
      <c r="A44" s="12" t="s">
        <v>3</v>
      </c>
      <c r="B44" s="17">
        <v>2230</v>
      </c>
      <c r="C44" s="37">
        <v>33879.42</v>
      </c>
      <c r="D44" s="37">
        <v>33879.42</v>
      </c>
      <c r="F44" s="26"/>
    </row>
    <row r="45" spans="1:6" ht="18.75">
      <c r="A45" s="12" t="s">
        <v>4</v>
      </c>
      <c r="B45" s="17">
        <v>2240</v>
      </c>
      <c r="C45" s="37">
        <v>2700</v>
      </c>
      <c r="D45" s="37">
        <v>2700</v>
      </c>
      <c r="F45" s="26"/>
    </row>
    <row r="46" spans="1:6" ht="18.75" hidden="1">
      <c r="A46" s="40" t="s">
        <v>10</v>
      </c>
      <c r="B46" s="17">
        <v>2275</v>
      </c>
      <c r="C46" s="37"/>
      <c r="D46" s="37"/>
      <c r="F46" s="26"/>
    </row>
    <row r="47" spans="1:6" ht="18.75" hidden="1">
      <c r="A47" s="11" t="s">
        <v>15</v>
      </c>
      <c r="B47" s="17">
        <v>2800</v>
      </c>
      <c r="C47" s="37"/>
      <c r="D47" s="37"/>
      <c r="F47" s="26"/>
    </row>
    <row r="48" spans="1:6" ht="37.5">
      <c r="A48" s="11" t="s">
        <v>12</v>
      </c>
      <c r="B48" s="17">
        <v>3110</v>
      </c>
      <c r="C48" s="37">
        <v>13699.66</v>
      </c>
      <c r="D48" s="37">
        <v>13699.66</v>
      </c>
      <c r="F48" s="26"/>
    </row>
    <row r="49" spans="1:6" ht="18.75" hidden="1">
      <c r="A49" s="18" t="s">
        <v>16</v>
      </c>
      <c r="B49" s="19">
        <v>3132</v>
      </c>
      <c r="C49" s="13"/>
      <c r="D49" s="20"/>
      <c r="F49" s="26"/>
    </row>
    <row r="50" spans="1:6" ht="18.75">
      <c r="A50" s="11" t="s">
        <v>13</v>
      </c>
      <c r="B50" s="17"/>
      <c r="C50" s="14">
        <f>C43+C44+C47+C48+C49+C45</f>
        <v>60827.14</v>
      </c>
      <c r="D50" s="14">
        <f>D43+D44+D47+D48+D49+D45</f>
        <v>60827.14</v>
      </c>
      <c r="F50" s="26"/>
    </row>
    <row r="54" spans="1:6" ht="33.75" customHeight="1">
      <c r="A54" s="56" t="s">
        <v>69</v>
      </c>
      <c r="B54" s="57"/>
      <c r="C54" s="57"/>
      <c r="D54" s="57"/>
    </row>
    <row r="56" spans="1:6" ht="18.75">
      <c r="A56" s="58" t="s">
        <v>27</v>
      </c>
      <c r="B56" s="59"/>
      <c r="C56" s="60" t="s">
        <v>28</v>
      </c>
      <c r="D56" s="59"/>
    </row>
    <row r="57" spans="1:6" ht="18.75" hidden="1">
      <c r="A57" s="40" t="s">
        <v>39</v>
      </c>
      <c r="B57" s="35">
        <v>2210</v>
      </c>
      <c r="C57" s="72"/>
      <c r="D57" s="72"/>
    </row>
    <row r="58" spans="1:6" ht="18.75" hidden="1">
      <c r="A58" s="40" t="s">
        <v>33</v>
      </c>
      <c r="B58" s="35">
        <v>2210</v>
      </c>
      <c r="C58" s="65"/>
      <c r="D58" s="66"/>
    </row>
    <row r="59" spans="1:6" ht="18.75" hidden="1">
      <c r="A59" s="40" t="s">
        <v>36</v>
      </c>
      <c r="B59" s="35">
        <v>2210</v>
      </c>
      <c r="C59" s="65"/>
      <c r="D59" s="66"/>
    </row>
    <row r="60" spans="1:6" ht="18.75" hidden="1">
      <c r="A60" s="40" t="s">
        <v>41</v>
      </c>
      <c r="B60" s="36">
        <v>3110.221</v>
      </c>
      <c r="C60" s="65"/>
      <c r="D60" s="66"/>
    </row>
    <row r="61" spans="1:6" ht="18.75">
      <c r="A61" s="40" t="s">
        <v>32</v>
      </c>
      <c r="B61" s="35">
        <v>2210</v>
      </c>
      <c r="C61" s="65">
        <v>2786.5</v>
      </c>
      <c r="D61" s="66"/>
    </row>
    <row r="62" spans="1:6" ht="18.75">
      <c r="A62" s="40" t="s">
        <v>34</v>
      </c>
      <c r="B62" s="35">
        <v>2210</v>
      </c>
      <c r="C62" s="65">
        <v>6913</v>
      </c>
      <c r="D62" s="66"/>
    </row>
    <row r="63" spans="1:6" ht="18.75">
      <c r="A63" s="40" t="s">
        <v>40</v>
      </c>
      <c r="B63" s="35">
        <v>3110</v>
      </c>
      <c r="C63" s="65">
        <v>8318</v>
      </c>
      <c r="D63" s="66"/>
    </row>
    <row r="64" spans="1:6" ht="18.75">
      <c r="A64" s="40" t="s">
        <v>35</v>
      </c>
      <c r="B64" s="35">
        <v>3110</v>
      </c>
      <c r="C64" s="65">
        <f>5331.66+50</f>
        <v>5381.66</v>
      </c>
      <c r="D64" s="66"/>
    </row>
    <row r="65" spans="1:4" ht="18.75" hidden="1">
      <c r="A65" s="40" t="s">
        <v>37</v>
      </c>
      <c r="B65" s="35">
        <v>2210</v>
      </c>
      <c r="C65" s="65"/>
      <c r="D65" s="66"/>
    </row>
    <row r="66" spans="1:4" ht="18.75" hidden="1">
      <c r="A66" s="40" t="s">
        <v>38</v>
      </c>
      <c r="B66" s="35">
        <v>2210</v>
      </c>
      <c r="C66" s="65"/>
      <c r="D66" s="66"/>
    </row>
    <row r="67" spans="1:4" ht="18.75">
      <c r="A67" s="40" t="s">
        <v>50</v>
      </c>
      <c r="B67" s="35">
        <v>2240</v>
      </c>
      <c r="C67" s="65">
        <v>2700</v>
      </c>
      <c r="D67" s="66"/>
    </row>
    <row r="68" spans="1:4" ht="18.75">
      <c r="A68" s="40" t="s">
        <v>42</v>
      </c>
      <c r="B68" s="35">
        <v>2230</v>
      </c>
      <c r="C68" s="65">
        <v>33879.42</v>
      </c>
      <c r="D68" s="66"/>
    </row>
    <row r="69" spans="1:4" ht="18.75" hidden="1">
      <c r="A69" s="40" t="s">
        <v>43</v>
      </c>
      <c r="B69" s="35">
        <v>2210</v>
      </c>
      <c r="C69" s="78"/>
      <c r="D69" s="79"/>
    </row>
    <row r="70" spans="1:4" ht="18.75">
      <c r="A70" s="40" t="s">
        <v>49</v>
      </c>
      <c r="B70" s="35">
        <v>2210</v>
      </c>
      <c r="C70" s="65">
        <f>491.85+356.71</f>
        <v>848.56</v>
      </c>
      <c r="D70" s="66"/>
    </row>
    <row r="71" spans="1:4" ht="18.75" hidden="1">
      <c r="A71" s="40" t="s">
        <v>47</v>
      </c>
      <c r="B71" s="35">
        <v>2210</v>
      </c>
      <c r="C71" s="65"/>
      <c r="D71" s="66"/>
    </row>
    <row r="72" spans="1:4" ht="18.75" hidden="1">
      <c r="A72" s="40" t="s">
        <v>46</v>
      </c>
      <c r="B72" s="35">
        <v>2210</v>
      </c>
      <c r="C72" s="65"/>
      <c r="D72" s="66"/>
    </row>
    <row r="73" spans="1:4" ht="18.75" hidden="1">
      <c r="A73" s="40" t="s">
        <v>48</v>
      </c>
      <c r="B73" s="41">
        <v>2210</v>
      </c>
      <c r="C73" s="65"/>
      <c r="D73" s="66"/>
    </row>
    <row r="74" spans="1:4" ht="18.75">
      <c r="A74" s="63"/>
      <c r="B74" s="64"/>
      <c r="C74" s="65"/>
      <c r="D74" s="66"/>
    </row>
    <row r="75" spans="1:4" ht="18.75">
      <c r="A75" s="63"/>
      <c r="B75" s="64"/>
      <c r="C75" s="73">
        <f>SUM(C57:D74)</f>
        <v>60827.14</v>
      </c>
      <c r="D75" s="74"/>
    </row>
  </sheetData>
  <mergeCells count="29">
    <mergeCell ref="A75:B75"/>
    <mergeCell ref="C75:D75"/>
    <mergeCell ref="C71:D71"/>
    <mergeCell ref="C72:D72"/>
    <mergeCell ref="C73:D73"/>
    <mergeCell ref="A74:B74"/>
    <mergeCell ref="C74:D74"/>
    <mergeCell ref="C66:D66"/>
    <mergeCell ref="C67:D67"/>
    <mergeCell ref="C68:D68"/>
    <mergeCell ref="C69:D69"/>
    <mergeCell ref="C70:D70"/>
    <mergeCell ref="A3:D3"/>
    <mergeCell ref="A2:D2"/>
    <mergeCell ref="A5:D5"/>
    <mergeCell ref="A27:D27"/>
    <mergeCell ref="A40:D40"/>
    <mergeCell ref="A54:D54"/>
    <mergeCell ref="C65:D65"/>
    <mergeCell ref="C58:D58"/>
    <mergeCell ref="C63:D63"/>
    <mergeCell ref="C64:D64"/>
    <mergeCell ref="C59:D59"/>
    <mergeCell ref="C62:D62"/>
    <mergeCell ref="C60:D60"/>
    <mergeCell ref="C61:D61"/>
    <mergeCell ref="A56:B56"/>
    <mergeCell ref="C56:D56"/>
    <mergeCell ref="C57:D5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I77"/>
  <sheetViews>
    <sheetView workbookViewId="0">
      <selection activeCell="F7" sqref="F1:F1048576"/>
    </sheetView>
  </sheetViews>
  <sheetFormatPr defaultRowHeight="15"/>
  <cols>
    <col min="1" max="1" width="40.875" style="3" customWidth="1"/>
    <col min="2" max="2" width="7.5" style="1" customWidth="1"/>
    <col min="3" max="3" width="18.875" customWidth="1"/>
    <col min="4" max="4" width="15.5" customWidth="1"/>
    <col min="5" max="5" width="10.625" hidden="1" customWidth="1"/>
    <col min="6" max="6" width="11.25" hidden="1" customWidth="1"/>
  </cols>
  <sheetData>
    <row r="2" spans="1:6" ht="61.5" customHeight="1">
      <c r="A2" s="61" t="s">
        <v>68</v>
      </c>
      <c r="B2" s="62"/>
      <c r="C2" s="62"/>
      <c r="D2" s="62"/>
    </row>
    <row r="3" spans="1:6" ht="66" customHeight="1">
      <c r="A3" s="70" t="s">
        <v>63</v>
      </c>
      <c r="B3" s="71"/>
      <c r="C3" s="71"/>
      <c r="D3" s="71"/>
    </row>
    <row r="4" spans="1:6" ht="18.75">
      <c r="A4" s="6"/>
      <c r="B4" s="7"/>
      <c r="C4" s="8"/>
      <c r="D4" s="8"/>
    </row>
    <row r="5" spans="1:6" ht="39.75" customHeight="1">
      <c r="A5" s="67" t="s">
        <v>24</v>
      </c>
      <c r="B5" s="68"/>
      <c r="C5" s="68"/>
      <c r="D5" s="68"/>
    </row>
    <row r="6" spans="1:6" s="2" customFormat="1" ht="74.25" customHeight="1">
      <c r="A6" s="9" t="s">
        <v>0</v>
      </c>
      <c r="B6" s="9" t="s">
        <v>1</v>
      </c>
      <c r="C6" s="10" t="s">
        <v>23</v>
      </c>
      <c r="D6" s="10" t="s">
        <v>17</v>
      </c>
    </row>
    <row r="7" spans="1:6" s="2" customFormat="1" ht="18.75">
      <c r="A7" s="21" t="s">
        <v>22</v>
      </c>
      <c r="B7" s="16">
        <v>2111</v>
      </c>
      <c r="C7" s="23">
        <f>2383370+465300-108270</f>
        <v>2740400</v>
      </c>
      <c r="D7" s="23">
        <f>2149493.54+446523.41</f>
        <v>2596016.9500000002</v>
      </c>
      <c r="E7" s="26">
        <f>C7-D7</f>
        <v>144383.04999999981</v>
      </c>
      <c r="F7" s="26">
        <f>C7-D7</f>
        <v>144383.04999999981</v>
      </c>
    </row>
    <row r="8" spans="1:6" s="2" customFormat="1" ht="18.75">
      <c r="A8" s="21" t="s">
        <v>44</v>
      </c>
      <c r="B8" s="16">
        <v>2120</v>
      </c>
      <c r="C8" s="23">
        <f>524350+102360-25000</f>
        <v>601710</v>
      </c>
      <c r="D8" s="23">
        <f>98524.01+487855.61</f>
        <v>586379.62</v>
      </c>
      <c r="E8" s="26">
        <f t="shared" ref="E8:E25" si="0">C8-D8</f>
        <v>15330.380000000005</v>
      </c>
      <c r="F8" s="26">
        <f t="shared" ref="F8:F25" si="1">C8-D8</f>
        <v>15330.380000000005</v>
      </c>
    </row>
    <row r="9" spans="1:6" ht="37.5">
      <c r="A9" s="11" t="s">
        <v>2</v>
      </c>
      <c r="B9" s="16">
        <v>2210</v>
      </c>
      <c r="C9" s="13">
        <f>81380+8000+1450+15000-10000-5000</f>
        <v>90830</v>
      </c>
      <c r="D9" s="13">
        <f>5041.5+81582.01</f>
        <v>86623.51</v>
      </c>
      <c r="E9" s="26">
        <f t="shared" si="0"/>
        <v>4206.4900000000052</v>
      </c>
      <c r="F9" s="26">
        <f t="shared" si="1"/>
        <v>4206.4900000000052</v>
      </c>
    </row>
    <row r="10" spans="1:6" ht="18.75">
      <c r="A10" s="11" t="s">
        <v>3</v>
      </c>
      <c r="B10" s="16">
        <v>2230</v>
      </c>
      <c r="C10" s="13">
        <f>117930+79600</f>
        <v>197530</v>
      </c>
      <c r="D10" s="13">
        <f>94660.68+63204.56</f>
        <v>157865.24</v>
      </c>
      <c r="E10" s="26">
        <f t="shared" si="0"/>
        <v>39664.760000000009</v>
      </c>
      <c r="F10" s="26">
        <f t="shared" si="1"/>
        <v>39664.760000000009</v>
      </c>
    </row>
    <row r="11" spans="1:6" ht="18.75">
      <c r="A11" s="11" t="s">
        <v>4</v>
      </c>
      <c r="B11" s="16">
        <v>2240</v>
      </c>
      <c r="C11" s="13">
        <f>158310+32000+20000</f>
        <v>210310</v>
      </c>
      <c r="D11" s="13">
        <f>189997.15+129.48</f>
        <v>190126.63</v>
      </c>
      <c r="E11" s="26">
        <f t="shared" si="0"/>
        <v>20183.369999999995</v>
      </c>
      <c r="F11" s="26">
        <f t="shared" si="1"/>
        <v>20183.369999999995</v>
      </c>
    </row>
    <row r="12" spans="1:6" ht="18.75">
      <c r="A12" s="11" t="s">
        <v>5</v>
      </c>
      <c r="B12" s="16">
        <v>2250</v>
      </c>
      <c r="C12" s="13">
        <v>712</v>
      </c>
      <c r="D12" s="13">
        <v>712</v>
      </c>
      <c r="E12" s="26">
        <f t="shared" si="0"/>
        <v>0</v>
      </c>
      <c r="F12" s="26">
        <f t="shared" si="1"/>
        <v>0</v>
      </c>
    </row>
    <row r="13" spans="1:6" ht="18.75" hidden="1">
      <c r="A13" s="11" t="s">
        <v>6</v>
      </c>
      <c r="B13" s="16">
        <v>2271</v>
      </c>
      <c r="C13" s="13"/>
      <c r="D13" s="13"/>
      <c r="E13" s="26">
        <f t="shared" si="0"/>
        <v>0</v>
      </c>
      <c r="F13" s="26">
        <f t="shared" si="1"/>
        <v>0</v>
      </c>
    </row>
    <row r="14" spans="1:6" ht="37.5">
      <c r="A14" s="11" t="s">
        <v>7</v>
      </c>
      <c r="B14" s="16">
        <v>2272</v>
      </c>
      <c r="C14" s="13">
        <v>180</v>
      </c>
      <c r="D14" s="13">
        <v>174</v>
      </c>
      <c r="E14" s="26">
        <f t="shared" si="0"/>
        <v>6</v>
      </c>
      <c r="F14" s="26">
        <f t="shared" si="1"/>
        <v>6</v>
      </c>
    </row>
    <row r="15" spans="1:6" ht="18.75">
      <c r="A15" s="11" t="s">
        <v>8</v>
      </c>
      <c r="B15" s="16">
        <v>2273</v>
      </c>
      <c r="C15" s="13">
        <f>35950+7720+1000</f>
        <v>44670</v>
      </c>
      <c r="D15" s="13">
        <f>33793.55+10520.16</f>
        <v>44313.710000000006</v>
      </c>
      <c r="E15" s="26">
        <f t="shared" si="0"/>
        <v>356.2899999999936</v>
      </c>
      <c r="F15" s="26">
        <f t="shared" si="1"/>
        <v>356.2899999999936</v>
      </c>
    </row>
    <row r="16" spans="1:6" ht="18.75">
      <c r="A16" s="11" t="s">
        <v>9</v>
      </c>
      <c r="B16" s="16">
        <v>2274</v>
      </c>
      <c r="C16" s="13">
        <f>383150+78170</f>
        <v>461320</v>
      </c>
      <c r="D16" s="13">
        <f>157859.86+68023.71</f>
        <v>225883.57</v>
      </c>
      <c r="E16" s="26">
        <f t="shared" si="0"/>
        <v>235436.43</v>
      </c>
      <c r="F16" s="26">
        <f t="shared" si="1"/>
        <v>235436.43</v>
      </c>
    </row>
    <row r="17" spans="1:9" ht="18.75" hidden="1">
      <c r="A17" s="11" t="s">
        <v>10</v>
      </c>
      <c r="B17" s="16">
        <v>2275</v>
      </c>
      <c r="C17" s="13"/>
      <c r="D17" s="13"/>
      <c r="E17" s="26">
        <f t="shared" si="0"/>
        <v>0</v>
      </c>
      <c r="F17" s="26">
        <f t="shared" si="1"/>
        <v>0</v>
      </c>
    </row>
    <row r="18" spans="1:9" ht="33.75" customHeight="1">
      <c r="A18" s="11" t="s">
        <v>11</v>
      </c>
      <c r="B18" s="16">
        <v>2282</v>
      </c>
      <c r="C18" s="13">
        <f>1600+500</f>
        <v>2100</v>
      </c>
      <c r="D18" s="13">
        <v>2001.58</v>
      </c>
      <c r="E18" s="26">
        <f t="shared" si="0"/>
        <v>98.420000000000073</v>
      </c>
      <c r="F18" s="26">
        <f t="shared" si="1"/>
        <v>98.420000000000073</v>
      </c>
    </row>
    <row r="19" spans="1:9" ht="18" hidden="1" customHeight="1">
      <c r="A19" s="11" t="s">
        <v>14</v>
      </c>
      <c r="B19" s="16">
        <v>2730</v>
      </c>
      <c r="C19" s="13"/>
      <c r="D19" s="13"/>
      <c r="E19" s="26">
        <f t="shared" si="0"/>
        <v>0</v>
      </c>
      <c r="F19" s="26">
        <f t="shared" si="1"/>
        <v>0</v>
      </c>
    </row>
    <row r="20" spans="1:9" ht="15.75" customHeight="1">
      <c r="A20" s="11" t="s">
        <v>15</v>
      </c>
      <c r="B20" s="16">
        <v>2800</v>
      </c>
      <c r="C20" s="13">
        <f>120+400</f>
        <v>520</v>
      </c>
      <c r="D20" s="13">
        <v>494.67</v>
      </c>
      <c r="E20" s="26">
        <f t="shared" si="0"/>
        <v>25.329999999999984</v>
      </c>
      <c r="F20" s="26">
        <f t="shared" si="1"/>
        <v>25.329999999999984</v>
      </c>
    </row>
    <row r="21" spans="1:9" ht="39" customHeight="1">
      <c r="A21" s="11" t="s">
        <v>12</v>
      </c>
      <c r="B21" s="16">
        <v>3110</v>
      </c>
      <c r="C21" s="13">
        <f>56000+14000</f>
        <v>70000</v>
      </c>
      <c r="D21" s="13">
        <f>55875.82+14000</f>
        <v>69875.820000000007</v>
      </c>
      <c r="E21" s="26">
        <f t="shared" si="0"/>
        <v>124.17999999999302</v>
      </c>
      <c r="F21" s="26">
        <f t="shared" si="1"/>
        <v>124.17999999999302</v>
      </c>
      <c r="H21" s="38"/>
    </row>
    <row r="22" spans="1:9" ht="37.5" hidden="1">
      <c r="A22" s="11" t="s">
        <v>20</v>
      </c>
      <c r="B22" s="16">
        <v>3122</v>
      </c>
      <c r="C22" s="13"/>
      <c r="D22" s="13"/>
      <c r="E22" s="26">
        <f t="shared" si="0"/>
        <v>0</v>
      </c>
      <c r="F22" s="26">
        <f t="shared" si="1"/>
        <v>0</v>
      </c>
      <c r="I22" t="s">
        <v>19</v>
      </c>
    </row>
    <row r="23" spans="1:9" ht="18.75" hidden="1">
      <c r="A23" s="11" t="s">
        <v>21</v>
      </c>
      <c r="B23" s="16">
        <v>3132</v>
      </c>
      <c r="C23" s="13"/>
      <c r="D23" s="13"/>
      <c r="E23" s="26">
        <f t="shared" si="0"/>
        <v>0</v>
      </c>
      <c r="F23" s="26">
        <f t="shared" si="1"/>
        <v>0</v>
      </c>
    </row>
    <row r="24" spans="1:9" ht="37.5" hidden="1">
      <c r="A24" s="32" t="s">
        <v>45</v>
      </c>
      <c r="B24" s="16">
        <v>3142</v>
      </c>
      <c r="C24" s="13"/>
      <c r="D24" s="13"/>
      <c r="E24" s="26">
        <f t="shared" si="0"/>
        <v>0</v>
      </c>
      <c r="F24" s="26">
        <f t="shared" si="1"/>
        <v>0</v>
      </c>
    </row>
    <row r="25" spans="1:9" ht="18.75">
      <c r="A25" s="11" t="s">
        <v>13</v>
      </c>
      <c r="B25" s="12"/>
      <c r="C25" s="14">
        <f>SUM(C7:C24)</f>
        <v>4420282</v>
      </c>
      <c r="D25" s="14">
        <f>SUM(D7:D24)</f>
        <v>3960467.3</v>
      </c>
      <c r="E25" s="26">
        <f t="shared" si="0"/>
        <v>459814.70000000019</v>
      </c>
      <c r="F25" s="26">
        <f t="shared" si="1"/>
        <v>459814.70000000019</v>
      </c>
    </row>
    <row r="26" spans="1:9">
      <c r="C26" s="4"/>
      <c r="D26" s="4"/>
    </row>
    <row r="27" spans="1:9" ht="33.75" customHeight="1">
      <c r="A27" s="61" t="s">
        <v>25</v>
      </c>
      <c r="B27" s="69"/>
      <c r="C27" s="69"/>
      <c r="D27" s="69"/>
    </row>
    <row r="28" spans="1:9" ht="18.75">
      <c r="A28" s="28"/>
      <c r="B28" s="7"/>
      <c r="C28" s="29"/>
      <c r="D28" s="30"/>
    </row>
    <row r="29" spans="1:9" ht="75">
      <c r="A29" s="15" t="s">
        <v>0</v>
      </c>
      <c r="B29" s="15" t="s">
        <v>1</v>
      </c>
      <c r="C29" s="10" t="s">
        <v>23</v>
      </c>
      <c r="D29" s="10" t="s">
        <v>18</v>
      </c>
    </row>
    <row r="30" spans="1:9" ht="37.5" hidden="1">
      <c r="A30" s="11" t="s">
        <v>2</v>
      </c>
      <c r="B30" s="17">
        <v>2210</v>
      </c>
      <c r="C30" s="37"/>
      <c r="D30" s="13"/>
      <c r="F30" s="26"/>
    </row>
    <row r="31" spans="1:9" ht="18.75">
      <c r="A31" s="12" t="s">
        <v>3</v>
      </c>
      <c r="B31" s="17">
        <v>2230</v>
      </c>
      <c r="C31" s="54">
        <v>18438.490000000002</v>
      </c>
      <c r="D31" s="37">
        <v>17849.3</v>
      </c>
      <c r="F31" s="26"/>
    </row>
    <row r="32" spans="1:9" ht="18.75" hidden="1">
      <c r="A32" s="12" t="s">
        <v>4</v>
      </c>
      <c r="B32" s="17">
        <v>2240</v>
      </c>
      <c r="C32" s="37"/>
      <c r="D32" s="13"/>
      <c r="F32" s="26"/>
    </row>
    <row r="33" spans="1:6" ht="18.75">
      <c r="A33" s="11" t="s">
        <v>10</v>
      </c>
      <c r="B33" s="16">
        <v>2275</v>
      </c>
      <c r="C33" s="37">
        <v>150</v>
      </c>
      <c r="D33" s="13"/>
      <c r="F33" s="26"/>
    </row>
    <row r="34" spans="1:6" ht="18.75" hidden="1">
      <c r="A34" s="11" t="s">
        <v>15</v>
      </c>
      <c r="B34" s="17">
        <v>2800</v>
      </c>
      <c r="C34" s="13"/>
      <c r="D34" s="13"/>
      <c r="F34" s="26"/>
    </row>
    <row r="35" spans="1:6" ht="37.5" hidden="1">
      <c r="A35" s="11" t="s">
        <v>12</v>
      </c>
      <c r="B35" s="17">
        <v>3110</v>
      </c>
      <c r="C35" s="13"/>
      <c r="D35" s="13"/>
      <c r="F35" s="26"/>
    </row>
    <row r="36" spans="1:6" ht="18.75" hidden="1">
      <c r="A36" s="18" t="s">
        <v>16</v>
      </c>
      <c r="B36" s="19">
        <v>3132</v>
      </c>
      <c r="C36" s="20"/>
      <c r="D36" s="20"/>
      <c r="F36" s="26"/>
    </row>
    <row r="37" spans="1:6" ht="18.75">
      <c r="A37" s="11" t="s">
        <v>13</v>
      </c>
      <c r="B37" s="17"/>
      <c r="C37" s="14">
        <f>SUM(C30:C36)</f>
        <v>18588.490000000002</v>
      </c>
      <c r="D37" s="14">
        <f>SUM(D30:D36)</f>
        <v>17849.3</v>
      </c>
      <c r="F37" s="26"/>
    </row>
    <row r="38" spans="1:6">
      <c r="A38" s="1"/>
      <c r="B38" s="5"/>
      <c r="C38" s="4"/>
      <c r="D38" s="4"/>
    </row>
    <row r="39" spans="1:6">
      <c r="A39" s="1"/>
      <c r="B39" s="5"/>
      <c r="C39" s="4"/>
      <c r="D39" s="4"/>
    </row>
    <row r="40" spans="1:6" ht="35.25" customHeight="1">
      <c r="A40" s="56" t="s">
        <v>26</v>
      </c>
      <c r="B40" s="57"/>
      <c r="C40" s="57"/>
      <c r="D40" s="57"/>
    </row>
    <row r="41" spans="1:6">
      <c r="A41" s="1"/>
      <c r="B41" s="5"/>
      <c r="C41" s="4"/>
      <c r="D41" s="4"/>
    </row>
    <row r="42" spans="1:6" ht="75">
      <c r="A42" s="15" t="s">
        <v>0</v>
      </c>
      <c r="B42" s="15" t="s">
        <v>1</v>
      </c>
      <c r="C42" s="10" t="s">
        <v>23</v>
      </c>
      <c r="D42" s="10" t="s">
        <v>18</v>
      </c>
    </row>
    <row r="43" spans="1:6" ht="37.5">
      <c r="A43" s="11" t="s">
        <v>2</v>
      </c>
      <c r="B43" s="17">
        <v>2210</v>
      </c>
      <c r="C43" s="37">
        <f>4087.6+21945</f>
        <v>26032.6</v>
      </c>
      <c r="D43" s="37">
        <f>4087.6+21945</f>
        <v>26032.6</v>
      </c>
      <c r="F43" s="26"/>
    </row>
    <row r="44" spans="1:6" ht="18.75">
      <c r="A44" s="12" t="s">
        <v>3</v>
      </c>
      <c r="B44" s="17">
        <v>2230</v>
      </c>
      <c r="C44" s="37">
        <v>48616.86</v>
      </c>
      <c r="D44" s="37">
        <v>48616.86</v>
      </c>
      <c r="F44" s="26"/>
    </row>
    <row r="45" spans="1:6" ht="18.75">
      <c r="A45" s="12" t="s">
        <v>4</v>
      </c>
      <c r="B45" s="17">
        <v>2240</v>
      </c>
      <c r="C45" s="37">
        <v>26418</v>
      </c>
      <c r="D45" s="37">
        <v>26418</v>
      </c>
      <c r="F45" s="26"/>
    </row>
    <row r="46" spans="1:6" ht="18.75" hidden="1">
      <c r="A46" s="40" t="s">
        <v>10</v>
      </c>
      <c r="B46" s="17">
        <v>2275</v>
      </c>
      <c r="C46" s="37"/>
      <c r="D46" s="37"/>
      <c r="F46" s="26"/>
    </row>
    <row r="47" spans="1:6" ht="18.75" hidden="1">
      <c r="A47" s="11" t="s">
        <v>15</v>
      </c>
      <c r="B47" s="17">
        <v>2800</v>
      </c>
      <c r="C47" s="37"/>
      <c r="D47" s="37"/>
      <c r="F47" s="26"/>
    </row>
    <row r="48" spans="1:6" ht="37.5">
      <c r="A48" s="11" t="s">
        <v>12</v>
      </c>
      <c r="B48" s="17">
        <v>3110</v>
      </c>
      <c r="C48" s="37">
        <v>10315.16</v>
      </c>
      <c r="D48" s="37">
        <v>10315.16</v>
      </c>
      <c r="F48" s="26"/>
    </row>
    <row r="49" spans="1:6" ht="18.75" hidden="1">
      <c r="A49" s="18" t="s">
        <v>16</v>
      </c>
      <c r="B49" s="19">
        <v>3132</v>
      </c>
      <c r="C49" s="13"/>
      <c r="D49" s="20"/>
      <c r="F49" s="26"/>
    </row>
    <row r="50" spans="1:6" ht="18.75">
      <c r="A50" s="11" t="s">
        <v>13</v>
      </c>
      <c r="B50" s="17"/>
      <c r="C50" s="14">
        <f>C43+C44+C47+C48+C49+C45</f>
        <v>111382.62</v>
      </c>
      <c r="D50" s="14">
        <f>D43+D44+D47+D48+D49+D45</f>
        <v>111382.62</v>
      </c>
      <c r="F50" s="26"/>
    </row>
    <row r="54" spans="1:6" ht="34.5" customHeight="1">
      <c r="A54" s="56" t="s">
        <v>69</v>
      </c>
      <c r="B54" s="57"/>
      <c r="C54" s="57"/>
      <c r="D54" s="57"/>
    </row>
    <row r="56" spans="1:6" ht="18.75">
      <c r="A56" s="58" t="s">
        <v>27</v>
      </c>
      <c r="B56" s="59"/>
      <c r="C56" s="60" t="s">
        <v>28</v>
      </c>
      <c r="D56" s="59"/>
    </row>
    <row r="57" spans="1:6" ht="18.75">
      <c r="A57" s="40" t="s">
        <v>39</v>
      </c>
      <c r="B57" s="35">
        <v>2210</v>
      </c>
      <c r="C57" s="72">
        <v>2998</v>
      </c>
      <c r="D57" s="72"/>
    </row>
    <row r="58" spans="1:6" ht="18.75" hidden="1">
      <c r="A58" s="40" t="s">
        <v>33</v>
      </c>
      <c r="B58" s="35">
        <v>2210</v>
      </c>
      <c r="C58" s="65"/>
      <c r="D58" s="66"/>
    </row>
    <row r="59" spans="1:6" ht="18.75" hidden="1">
      <c r="A59" s="40" t="s">
        <v>36</v>
      </c>
      <c r="B59" s="35">
        <v>2210</v>
      </c>
      <c r="C59" s="65"/>
      <c r="D59" s="66"/>
    </row>
    <row r="60" spans="1:6" ht="18.75" hidden="1">
      <c r="A60" s="40" t="s">
        <v>41</v>
      </c>
      <c r="B60" s="36">
        <v>3110.221</v>
      </c>
      <c r="C60" s="65"/>
      <c r="D60" s="66"/>
    </row>
    <row r="61" spans="1:6" ht="18.75" hidden="1">
      <c r="A61" s="40" t="s">
        <v>32</v>
      </c>
      <c r="B61" s="35">
        <v>2210</v>
      </c>
      <c r="C61" s="65"/>
      <c r="D61" s="66"/>
    </row>
    <row r="62" spans="1:6" ht="18.75" hidden="1">
      <c r="A62" s="40" t="s">
        <v>34</v>
      </c>
      <c r="B62" s="35">
        <v>2210</v>
      </c>
      <c r="C62" s="65"/>
      <c r="D62" s="66"/>
    </row>
    <row r="63" spans="1:6" ht="18.75" hidden="1">
      <c r="A63" s="40" t="s">
        <v>40</v>
      </c>
      <c r="B63" s="35">
        <v>2210</v>
      </c>
      <c r="C63" s="65"/>
      <c r="D63" s="66"/>
    </row>
    <row r="64" spans="1:6" ht="18.75">
      <c r="A64" s="40" t="s">
        <v>35</v>
      </c>
      <c r="B64" s="35">
        <v>3110</v>
      </c>
      <c r="C64" s="65">
        <v>10315.16</v>
      </c>
      <c r="D64" s="66"/>
    </row>
    <row r="65" spans="1:4" ht="18.75" hidden="1">
      <c r="A65" s="40" t="s">
        <v>37</v>
      </c>
      <c r="B65" s="35">
        <v>2210</v>
      </c>
      <c r="C65" s="65"/>
      <c r="D65" s="66"/>
    </row>
    <row r="66" spans="1:4" ht="18.75" hidden="1">
      <c r="A66" s="40" t="s">
        <v>38</v>
      </c>
      <c r="B66" s="35">
        <v>2210</v>
      </c>
      <c r="C66" s="65"/>
      <c r="D66" s="66"/>
    </row>
    <row r="67" spans="1:4" ht="18.75" hidden="1">
      <c r="A67" s="40" t="s">
        <v>50</v>
      </c>
      <c r="B67" s="35">
        <v>2240</v>
      </c>
      <c r="C67" s="65"/>
      <c r="D67" s="66"/>
    </row>
    <row r="68" spans="1:4" ht="18.75">
      <c r="A68" s="40" t="s">
        <v>42</v>
      </c>
      <c r="B68" s="35">
        <v>2230</v>
      </c>
      <c r="C68" s="65">
        <v>48616.86</v>
      </c>
      <c r="D68" s="66"/>
    </row>
    <row r="69" spans="1:4" ht="18.75" hidden="1">
      <c r="A69" s="40" t="s">
        <v>43</v>
      </c>
      <c r="B69" s="35">
        <v>2210</v>
      </c>
      <c r="C69" s="65"/>
      <c r="D69" s="66"/>
    </row>
    <row r="70" spans="1:4" ht="18.75">
      <c r="A70" s="40" t="s">
        <v>49</v>
      </c>
      <c r="B70" s="35">
        <v>2210</v>
      </c>
      <c r="C70" s="65">
        <f>491.85+597.75</f>
        <v>1089.5999999999999</v>
      </c>
      <c r="D70" s="66"/>
    </row>
    <row r="71" spans="1:4" ht="18.75" hidden="1">
      <c r="A71" s="40" t="s">
        <v>47</v>
      </c>
      <c r="B71" s="35">
        <v>2210</v>
      </c>
      <c r="C71" s="65"/>
      <c r="D71" s="66"/>
    </row>
    <row r="72" spans="1:4" ht="18.75" hidden="1">
      <c r="A72" s="40" t="s">
        <v>46</v>
      </c>
      <c r="B72" s="35">
        <v>2210</v>
      </c>
      <c r="C72" s="65"/>
      <c r="D72" s="66"/>
    </row>
    <row r="73" spans="1:4" ht="18.75" hidden="1">
      <c r="A73" s="40" t="s">
        <v>48</v>
      </c>
      <c r="B73" s="41">
        <v>2210</v>
      </c>
      <c r="C73" s="65"/>
      <c r="D73" s="66"/>
    </row>
    <row r="74" spans="1:4" ht="18.75">
      <c r="A74" s="63"/>
      <c r="B74" s="64"/>
      <c r="C74" s="65"/>
      <c r="D74" s="66"/>
    </row>
    <row r="75" spans="1:4" ht="18.75">
      <c r="A75" s="63"/>
      <c r="B75" s="64"/>
      <c r="C75" s="73">
        <f>SUM(C57:D74)</f>
        <v>63019.62</v>
      </c>
      <c r="D75" s="74"/>
    </row>
    <row r="77" spans="1:4" ht="37.5" customHeight="1">
      <c r="A77" s="56" t="s">
        <v>71</v>
      </c>
      <c r="B77" s="57"/>
      <c r="C77" s="57"/>
      <c r="D77" s="57"/>
    </row>
  </sheetData>
  <mergeCells count="30">
    <mergeCell ref="C69:D69"/>
    <mergeCell ref="A75:B75"/>
    <mergeCell ref="C75:D75"/>
    <mergeCell ref="C70:D70"/>
    <mergeCell ref="C71:D71"/>
    <mergeCell ref="C72:D72"/>
    <mergeCell ref="C73:D73"/>
    <mergeCell ref="A74:B74"/>
    <mergeCell ref="C74:D74"/>
    <mergeCell ref="A3:D3"/>
    <mergeCell ref="A2:D2"/>
    <mergeCell ref="A5:D5"/>
    <mergeCell ref="A27:D27"/>
    <mergeCell ref="A40:D40"/>
    <mergeCell ref="A77:D77"/>
    <mergeCell ref="A54:D54"/>
    <mergeCell ref="C61:D61"/>
    <mergeCell ref="C62:D62"/>
    <mergeCell ref="C58:D58"/>
    <mergeCell ref="C59:D59"/>
    <mergeCell ref="C60:D60"/>
    <mergeCell ref="A56:B56"/>
    <mergeCell ref="C56:D56"/>
    <mergeCell ref="C57:D57"/>
    <mergeCell ref="C63:D63"/>
    <mergeCell ref="C64:D64"/>
    <mergeCell ref="C65:D65"/>
    <mergeCell ref="C66:D66"/>
    <mergeCell ref="C67:D67"/>
    <mergeCell ref="C68:D68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2:I78"/>
  <sheetViews>
    <sheetView workbookViewId="0">
      <selection activeCell="G58" sqref="G58"/>
    </sheetView>
  </sheetViews>
  <sheetFormatPr defaultRowHeight="15"/>
  <cols>
    <col min="1" max="1" width="40.875" style="3" customWidth="1"/>
    <col min="2" max="2" width="8.75" style="1" customWidth="1"/>
    <col min="3" max="3" width="17.875" customWidth="1"/>
    <col min="4" max="4" width="15" customWidth="1"/>
    <col min="5" max="5" width="10.75" hidden="1" customWidth="1"/>
    <col min="6" max="6" width="11.125" hidden="1" customWidth="1"/>
  </cols>
  <sheetData>
    <row r="2" spans="1:6" ht="56.25" customHeight="1">
      <c r="A2" s="61" t="s">
        <v>68</v>
      </c>
      <c r="B2" s="62"/>
      <c r="C2" s="62"/>
      <c r="D2" s="62"/>
    </row>
    <row r="3" spans="1:6" ht="47.25" customHeight="1">
      <c r="A3" s="70" t="s">
        <v>31</v>
      </c>
      <c r="B3" s="71"/>
      <c r="C3" s="71"/>
      <c r="D3" s="71"/>
    </row>
    <row r="4" spans="1:6" ht="18.75">
      <c r="A4" s="6"/>
      <c r="B4" s="7"/>
      <c r="C4" s="8"/>
      <c r="D4" s="8"/>
    </row>
    <row r="5" spans="1:6" ht="45.75" customHeight="1">
      <c r="A5" s="67" t="s">
        <v>24</v>
      </c>
      <c r="B5" s="68"/>
      <c r="C5" s="68"/>
      <c r="D5" s="68"/>
    </row>
    <row r="6" spans="1:6" s="2" customFormat="1" ht="75" customHeight="1">
      <c r="A6" s="9" t="s">
        <v>0</v>
      </c>
      <c r="B6" s="9" t="s">
        <v>1</v>
      </c>
      <c r="C6" s="10" t="s">
        <v>23</v>
      </c>
      <c r="D6" s="10" t="s">
        <v>17</v>
      </c>
    </row>
    <row r="7" spans="1:6" s="2" customFormat="1" ht="18.75">
      <c r="A7" s="21" t="s">
        <v>22</v>
      </c>
      <c r="B7" s="16">
        <v>2111</v>
      </c>
      <c r="C7" s="23">
        <f>2912370+63040</f>
        <v>2975410</v>
      </c>
      <c r="D7" s="23">
        <f>2798505.12+68704.64</f>
        <v>2867209.7600000002</v>
      </c>
      <c r="E7" s="26">
        <f>C7-D7</f>
        <v>108200.23999999976</v>
      </c>
      <c r="F7" s="26">
        <f>C7-D7</f>
        <v>108200.23999999976</v>
      </c>
    </row>
    <row r="8" spans="1:6" s="2" customFormat="1" ht="18.75">
      <c r="A8" s="21" t="s">
        <v>44</v>
      </c>
      <c r="B8" s="16">
        <v>2120</v>
      </c>
      <c r="C8" s="23">
        <f>640720+13870</f>
        <v>654590</v>
      </c>
      <c r="D8" s="23">
        <f>14612.14+616142.9</f>
        <v>630755.04</v>
      </c>
      <c r="E8" s="26">
        <f t="shared" ref="E8:E25" si="0">C8-D8</f>
        <v>23834.959999999963</v>
      </c>
      <c r="F8" s="26">
        <f t="shared" ref="F8:F25" si="1">C8-D8</f>
        <v>23834.959999999963</v>
      </c>
    </row>
    <row r="9" spans="1:6" ht="37.5">
      <c r="A9" s="11" t="s">
        <v>2</v>
      </c>
      <c r="B9" s="16">
        <v>2210</v>
      </c>
      <c r="C9" s="13">
        <f>92823+7244+104000+5000</f>
        <v>209067</v>
      </c>
      <c r="D9" s="13">
        <f>5856.5+197574.42</f>
        <v>203430.92</v>
      </c>
      <c r="E9" s="26">
        <f t="shared" si="0"/>
        <v>5636.0799999999872</v>
      </c>
      <c r="F9" s="26">
        <f t="shared" si="1"/>
        <v>5636.0799999999872</v>
      </c>
    </row>
    <row r="10" spans="1:6" ht="18.75">
      <c r="A10" s="11" t="s">
        <v>3</v>
      </c>
      <c r="B10" s="16">
        <v>2230</v>
      </c>
      <c r="C10" s="13">
        <v>232920</v>
      </c>
      <c r="D10" s="13">
        <v>221969.54</v>
      </c>
      <c r="E10" s="26">
        <f t="shared" si="0"/>
        <v>10950.459999999992</v>
      </c>
      <c r="F10" s="26">
        <f t="shared" si="1"/>
        <v>10950.459999999992</v>
      </c>
    </row>
    <row r="11" spans="1:6" ht="18.75">
      <c r="A11" s="11" t="s">
        <v>4</v>
      </c>
      <c r="B11" s="16">
        <v>2240</v>
      </c>
      <c r="C11" s="13">
        <f>213280+136000+20000-10000</f>
        <v>359280</v>
      </c>
      <c r="D11" s="13">
        <v>348264.3</v>
      </c>
      <c r="E11" s="26">
        <f t="shared" si="0"/>
        <v>11015.700000000012</v>
      </c>
      <c r="F11" s="26">
        <f t="shared" si="1"/>
        <v>11015.700000000012</v>
      </c>
    </row>
    <row r="12" spans="1:6" ht="18.75">
      <c r="A12" s="11" t="s">
        <v>5</v>
      </c>
      <c r="B12" s="16">
        <v>2250</v>
      </c>
      <c r="C12" s="13">
        <v>600</v>
      </c>
      <c r="D12" s="13">
        <v>600</v>
      </c>
      <c r="E12" s="26">
        <f t="shared" si="0"/>
        <v>0</v>
      </c>
      <c r="F12" s="26">
        <f t="shared" si="1"/>
        <v>0</v>
      </c>
    </row>
    <row r="13" spans="1:6" ht="18.75" hidden="1">
      <c r="A13" s="11" t="s">
        <v>6</v>
      </c>
      <c r="B13" s="16">
        <v>2271</v>
      </c>
      <c r="C13" s="13"/>
      <c r="D13" s="13"/>
      <c r="E13" s="26">
        <f t="shared" si="0"/>
        <v>0</v>
      </c>
      <c r="F13" s="26">
        <f t="shared" si="1"/>
        <v>0</v>
      </c>
    </row>
    <row r="14" spans="1:6" ht="37.5">
      <c r="A14" s="11" t="s">
        <v>7</v>
      </c>
      <c r="B14" s="16">
        <v>2272</v>
      </c>
      <c r="C14" s="13">
        <f>3460+550</f>
        <v>4010</v>
      </c>
      <c r="D14" s="13">
        <v>3984.6</v>
      </c>
      <c r="E14" s="26">
        <f t="shared" si="0"/>
        <v>25.400000000000091</v>
      </c>
      <c r="F14" s="26">
        <f t="shared" si="1"/>
        <v>25.400000000000091</v>
      </c>
    </row>
    <row r="15" spans="1:6" ht="18.75">
      <c r="A15" s="11" t="s">
        <v>8</v>
      </c>
      <c r="B15" s="16">
        <v>2273</v>
      </c>
      <c r="C15" s="13">
        <f>58220-3000</f>
        <v>55220</v>
      </c>
      <c r="D15" s="13">
        <v>47351.55</v>
      </c>
      <c r="E15" s="26">
        <f t="shared" si="0"/>
        <v>7868.4499999999971</v>
      </c>
      <c r="F15" s="26">
        <f t="shared" si="1"/>
        <v>7868.4499999999971</v>
      </c>
    </row>
    <row r="16" spans="1:6" ht="18.75" hidden="1">
      <c r="A16" s="11" t="s">
        <v>9</v>
      </c>
      <c r="B16" s="16">
        <v>2274</v>
      </c>
      <c r="C16" s="13"/>
      <c r="D16" s="13"/>
      <c r="E16" s="26">
        <f t="shared" si="0"/>
        <v>0</v>
      </c>
      <c r="F16" s="26">
        <f t="shared" si="1"/>
        <v>0</v>
      </c>
    </row>
    <row r="17" spans="1:9" ht="18.75">
      <c r="A17" s="11" t="s">
        <v>10</v>
      </c>
      <c r="B17" s="16">
        <v>2275</v>
      </c>
      <c r="C17" s="13">
        <f>838270-152000</f>
        <v>686270</v>
      </c>
      <c r="D17" s="13">
        <v>686150</v>
      </c>
      <c r="E17" s="26">
        <f t="shared" si="0"/>
        <v>120</v>
      </c>
      <c r="F17" s="26">
        <f t="shared" si="1"/>
        <v>120</v>
      </c>
    </row>
    <row r="18" spans="1:9" ht="33" customHeight="1">
      <c r="A18" s="11" t="s">
        <v>11</v>
      </c>
      <c r="B18" s="16">
        <v>2282</v>
      </c>
      <c r="C18" s="13">
        <f>1600+850</f>
        <v>2450</v>
      </c>
      <c r="D18" s="13">
        <v>2433.58</v>
      </c>
      <c r="E18" s="26">
        <f t="shared" si="0"/>
        <v>16.420000000000073</v>
      </c>
      <c r="F18" s="26">
        <f t="shared" si="1"/>
        <v>16.420000000000073</v>
      </c>
    </row>
    <row r="19" spans="1:9" ht="18" hidden="1" customHeight="1">
      <c r="A19" s="11" t="s">
        <v>14</v>
      </c>
      <c r="B19" s="16">
        <v>2730</v>
      </c>
      <c r="C19" s="13"/>
      <c r="D19" s="13"/>
      <c r="E19" s="26">
        <f t="shared" si="0"/>
        <v>0</v>
      </c>
      <c r="F19" s="26">
        <f t="shared" si="1"/>
        <v>0</v>
      </c>
    </row>
    <row r="20" spans="1:9" ht="15.75" customHeight="1">
      <c r="A20" s="11" t="s">
        <v>15</v>
      </c>
      <c r="B20" s="16">
        <v>2800</v>
      </c>
      <c r="C20" s="13">
        <f>6570+3100</f>
        <v>9670</v>
      </c>
      <c r="D20" s="13">
        <v>9630.2099999999991</v>
      </c>
      <c r="E20" s="26">
        <f t="shared" si="0"/>
        <v>39.790000000000873</v>
      </c>
      <c r="F20" s="26">
        <f t="shared" si="1"/>
        <v>39.790000000000873</v>
      </c>
    </row>
    <row r="21" spans="1:9" ht="36.75" customHeight="1">
      <c r="A21" s="11" t="s">
        <v>12</v>
      </c>
      <c r="B21" s="16">
        <v>3110</v>
      </c>
      <c r="C21" s="13">
        <f>244000+14000</f>
        <v>258000</v>
      </c>
      <c r="D21" s="13">
        <f>243875.82+14000</f>
        <v>257875.82</v>
      </c>
      <c r="E21" s="26">
        <f t="shared" si="0"/>
        <v>124.17999999999302</v>
      </c>
      <c r="F21" s="26">
        <f t="shared" si="1"/>
        <v>124.17999999999302</v>
      </c>
      <c r="H21" s="38"/>
    </row>
    <row r="22" spans="1:9" ht="37.5" hidden="1">
      <c r="A22" s="11" t="s">
        <v>20</v>
      </c>
      <c r="B22" s="16">
        <v>3122</v>
      </c>
      <c r="C22" s="13"/>
      <c r="D22" s="13"/>
      <c r="E22" s="26">
        <f t="shared" si="0"/>
        <v>0</v>
      </c>
      <c r="F22" s="26">
        <f t="shared" si="1"/>
        <v>0</v>
      </c>
      <c r="I22" t="s">
        <v>19</v>
      </c>
    </row>
    <row r="23" spans="1:9" ht="18.75">
      <c r="A23" s="11" t="s">
        <v>21</v>
      </c>
      <c r="B23" s="16">
        <v>3132</v>
      </c>
      <c r="C23" s="13">
        <v>339993.52</v>
      </c>
      <c r="D23" s="13">
        <v>339993.52</v>
      </c>
      <c r="E23" s="26">
        <f t="shared" si="0"/>
        <v>0</v>
      </c>
      <c r="F23" s="26">
        <f t="shared" si="1"/>
        <v>0</v>
      </c>
    </row>
    <row r="24" spans="1:9" ht="37.5" hidden="1">
      <c r="A24" s="32" t="s">
        <v>45</v>
      </c>
      <c r="B24" s="16">
        <v>3142</v>
      </c>
      <c r="C24" s="13"/>
      <c r="D24" s="13"/>
      <c r="E24" s="26">
        <f t="shared" si="0"/>
        <v>0</v>
      </c>
      <c r="F24" s="26">
        <f t="shared" si="1"/>
        <v>0</v>
      </c>
    </row>
    <row r="25" spans="1:9" ht="18.75">
      <c r="A25" s="11" t="s">
        <v>13</v>
      </c>
      <c r="B25" s="16"/>
      <c r="C25" s="14">
        <f>SUM(C7:C24)</f>
        <v>5787480.5199999996</v>
      </c>
      <c r="D25" s="14">
        <f>SUM(D7:D24)</f>
        <v>5619648.8399999999</v>
      </c>
      <c r="E25" s="26">
        <f t="shared" si="0"/>
        <v>167831.6799999997</v>
      </c>
      <c r="F25" s="26">
        <f t="shared" si="1"/>
        <v>167831.6799999997</v>
      </c>
    </row>
    <row r="26" spans="1:9">
      <c r="C26" s="4"/>
      <c r="D26" s="4"/>
    </row>
    <row r="27" spans="1:9" ht="18.75">
      <c r="A27" s="24"/>
      <c r="B27" s="25"/>
      <c r="C27" s="25"/>
      <c r="D27" s="8"/>
    </row>
    <row r="28" spans="1:9" ht="33" customHeight="1">
      <c r="A28" s="61" t="s">
        <v>25</v>
      </c>
      <c r="B28" s="69"/>
      <c r="C28" s="69"/>
      <c r="D28" s="69"/>
    </row>
    <row r="29" spans="1:9" ht="18.75">
      <c r="A29" s="27"/>
      <c r="B29" s="29"/>
      <c r="C29" s="29"/>
      <c r="D29" s="30"/>
    </row>
    <row r="30" spans="1:9" ht="75">
      <c r="A30" s="15" t="s">
        <v>0</v>
      </c>
      <c r="B30" s="15" t="s">
        <v>1</v>
      </c>
      <c r="C30" s="10"/>
      <c r="D30" s="10" t="s">
        <v>18</v>
      </c>
    </row>
    <row r="31" spans="1:9" ht="37.5">
      <c r="A31" s="11" t="s">
        <v>2</v>
      </c>
      <c r="B31" s="17">
        <v>2210</v>
      </c>
      <c r="C31" s="37">
        <v>5530</v>
      </c>
      <c r="D31" s="37">
        <v>3525</v>
      </c>
      <c r="F31" s="26"/>
    </row>
    <row r="32" spans="1:9" ht="18.75" hidden="1">
      <c r="A32" s="12" t="s">
        <v>3</v>
      </c>
      <c r="B32" s="17">
        <v>2230</v>
      </c>
      <c r="C32" s="37"/>
      <c r="D32" s="37"/>
      <c r="F32" s="26"/>
    </row>
    <row r="33" spans="1:6" ht="18.75" hidden="1">
      <c r="A33" s="12" t="s">
        <v>4</v>
      </c>
      <c r="B33" s="17">
        <v>2240</v>
      </c>
      <c r="C33" s="37"/>
      <c r="D33" s="37"/>
      <c r="F33" s="26"/>
    </row>
    <row r="34" spans="1:6" ht="18.75">
      <c r="A34" s="12" t="s">
        <v>10</v>
      </c>
      <c r="B34" s="17">
        <v>2275</v>
      </c>
      <c r="C34" s="37">
        <v>20</v>
      </c>
      <c r="D34" s="37">
        <v>20</v>
      </c>
      <c r="F34" s="26"/>
    </row>
    <row r="35" spans="1:6" ht="18.75" hidden="1">
      <c r="A35" s="11" t="s">
        <v>15</v>
      </c>
      <c r="B35" s="17">
        <v>2800</v>
      </c>
      <c r="C35" s="37"/>
      <c r="D35" s="13"/>
      <c r="F35" s="26"/>
    </row>
    <row r="36" spans="1:6" ht="37.5" hidden="1">
      <c r="A36" s="11" t="s">
        <v>12</v>
      </c>
      <c r="B36" s="17">
        <v>3110</v>
      </c>
      <c r="C36" s="13"/>
      <c r="D36" s="13"/>
      <c r="F36" s="26"/>
    </row>
    <row r="37" spans="1:6" ht="18.75" hidden="1">
      <c r="A37" s="18" t="s">
        <v>16</v>
      </c>
      <c r="B37" s="19">
        <v>3132</v>
      </c>
      <c r="C37" s="20"/>
      <c r="D37" s="20"/>
      <c r="F37" s="26"/>
    </row>
    <row r="38" spans="1:6" ht="18.75">
      <c r="A38" s="11" t="s">
        <v>13</v>
      </c>
      <c r="B38" s="17"/>
      <c r="C38" s="14">
        <f>SUM(C31:C37)</f>
        <v>5550</v>
      </c>
      <c r="D38" s="14">
        <f>SUM(D31:D37)</f>
        <v>3545</v>
      </c>
      <c r="F38" s="26"/>
    </row>
    <row r="39" spans="1:6">
      <c r="A39" s="1"/>
      <c r="B39" s="5"/>
      <c r="C39" s="4"/>
      <c r="D39" s="4"/>
    </row>
    <row r="40" spans="1:6">
      <c r="A40" s="1"/>
      <c r="B40" s="5"/>
      <c r="C40" s="4"/>
      <c r="D40" s="4"/>
    </row>
    <row r="41" spans="1:6" ht="33.75" customHeight="1">
      <c r="A41" s="56" t="s">
        <v>26</v>
      </c>
      <c r="B41" s="57"/>
      <c r="C41" s="57"/>
      <c r="D41" s="57"/>
    </row>
    <row r="42" spans="1:6">
      <c r="A42" s="1"/>
      <c r="B42" s="5"/>
      <c r="C42" s="4"/>
      <c r="D42" s="4"/>
    </row>
    <row r="43" spans="1:6" ht="75">
      <c r="A43" s="15" t="s">
        <v>0</v>
      </c>
      <c r="B43" s="15" t="s">
        <v>1</v>
      </c>
      <c r="C43" s="10" t="s">
        <v>23</v>
      </c>
      <c r="D43" s="10" t="s">
        <v>18</v>
      </c>
    </row>
    <row r="44" spans="1:6" ht="37.5">
      <c r="A44" s="11" t="s">
        <v>2</v>
      </c>
      <c r="B44" s="17">
        <v>2210</v>
      </c>
      <c r="C44" s="37">
        <f>20323.77+30000</f>
        <v>50323.770000000004</v>
      </c>
      <c r="D44" s="37">
        <f>20323.77+30000</f>
        <v>50323.770000000004</v>
      </c>
      <c r="F44" s="26"/>
    </row>
    <row r="45" spans="1:6" ht="18.75">
      <c r="A45" s="12" t="s">
        <v>3</v>
      </c>
      <c r="B45" s="17">
        <v>2230</v>
      </c>
      <c r="C45" s="37">
        <v>36859.29</v>
      </c>
      <c r="D45" s="37">
        <v>36859.29</v>
      </c>
      <c r="F45" s="26"/>
    </row>
    <row r="46" spans="1:6" ht="18.75" hidden="1">
      <c r="A46" s="12" t="s">
        <v>4</v>
      </c>
      <c r="B46" s="17">
        <v>2240</v>
      </c>
      <c r="C46" s="37"/>
      <c r="D46" s="37"/>
      <c r="F46" s="26"/>
    </row>
    <row r="47" spans="1:6" ht="18.75" hidden="1">
      <c r="A47" s="12" t="s">
        <v>10</v>
      </c>
      <c r="B47" s="17">
        <v>2275</v>
      </c>
      <c r="C47" s="37"/>
      <c r="D47" s="37"/>
      <c r="F47" s="26"/>
    </row>
    <row r="48" spans="1:6" ht="18.75" hidden="1">
      <c r="A48" s="11" t="s">
        <v>15</v>
      </c>
      <c r="B48" s="17">
        <v>2800</v>
      </c>
      <c r="C48" s="37"/>
      <c r="D48" s="37"/>
      <c r="F48" s="26"/>
    </row>
    <row r="49" spans="1:6" ht="37.5">
      <c r="A49" s="11" t="s">
        <v>12</v>
      </c>
      <c r="B49" s="17">
        <v>3110</v>
      </c>
      <c r="C49" s="37">
        <v>20211.580000000002</v>
      </c>
      <c r="D49" s="37">
        <v>20211.580000000002</v>
      </c>
      <c r="F49" s="26"/>
    </row>
    <row r="50" spans="1:6" ht="18.75" hidden="1">
      <c r="A50" s="18" t="s">
        <v>16</v>
      </c>
      <c r="B50" s="19">
        <v>3132</v>
      </c>
      <c r="C50" s="13">
        <f t="shared" ref="C50" si="2">D50</f>
        <v>0</v>
      </c>
      <c r="D50" s="20"/>
      <c r="F50" s="26"/>
    </row>
    <row r="51" spans="1:6" ht="18.75">
      <c r="A51" s="11" t="s">
        <v>13</v>
      </c>
      <c r="B51" s="17"/>
      <c r="C51" s="14">
        <f>SUM(C44:C49)</f>
        <v>107394.64</v>
      </c>
      <c r="D51" s="14">
        <f>D44+D45+D48+D49+D50+D47+D46</f>
        <v>107394.64</v>
      </c>
      <c r="F51" s="26"/>
    </row>
    <row r="53" spans="1:6" ht="15.75" customHeight="1">
      <c r="A53" s="56"/>
      <c r="B53" s="57"/>
      <c r="C53" s="57"/>
      <c r="D53" s="57"/>
    </row>
    <row r="54" spans="1:6" ht="47.25" customHeight="1">
      <c r="A54" s="56" t="s">
        <v>69</v>
      </c>
      <c r="B54" s="80"/>
      <c r="C54" s="80"/>
      <c r="D54" s="80"/>
    </row>
    <row r="57" spans="1:6" ht="18.75">
      <c r="A57" s="58" t="s">
        <v>27</v>
      </c>
      <c r="B57" s="59"/>
      <c r="C57" s="60" t="s">
        <v>28</v>
      </c>
      <c r="D57" s="59"/>
    </row>
    <row r="58" spans="1:6" ht="18.75">
      <c r="A58" s="40" t="s">
        <v>39</v>
      </c>
      <c r="B58" s="35">
        <v>2210</v>
      </c>
      <c r="C58" s="72">
        <f>3305.48+980+840+504+224</f>
        <v>5853.48</v>
      </c>
      <c r="D58" s="72"/>
    </row>
    <row r="59" spans="1:6" ht="18.75" hidden="1">
      <c r="A59" s="40" t="s">
        <v>33</v>
      </c>
      <c r="B59" s="35">
        <v>2210</v>
      </c>
      <c r="C59" s="78"/>
      <c r="D59" s="79"/>
    </row>
    <row r="60" spans="1:6" ht="18.75" hidden="1">
      <c r="A60" s="40" t="s">
        <v>36</v>
      </c>
      <c r="B60" s="35">
        <v>2210</v>
      </c>
      <c r="C60" s="78"/>
      <c r="D60" s="79"/>
    </row>
    <row r="61" spans="1:6" ht="18.75" hidden="1">
      <c r="A61" s="40" t="s">
        <v>41</v>
      </c>
      <c r="B61" s="36">
        <v>3110.221</v>
      </c>
      <c r="C61" s="78"/>
      <c r="D61" s="79"/>
    </row>
    <row r="62" spans="1:6" ht="18.75" hidden="1">
      <c r="A62" s="40" t="s">
        <v>32</v>
      </c>
      <c r="B62" s="35">
        <v>2210</v>
      </c>
      <c r="C62" s="78"/>
      <c r="D62" s="79"/>
    </row>
    <row r="63" spans="1:6" ht="18.75" hidden="1">
      <c r="A63" s="40" t="s">
        <v>34</v>
      </c>
      <c r="B63" s="35">
        <v>2210</v>
      </c>
      <c r="C63" s="78"/>
      <c r="D63" s="79"/>
    </row>
    <row r="64" spans="1:6" ht="18.75">
      <c r="A64" s="40" t="s">
        <v>40</v>
      </c>
      <c r="B64" s="35">
        <v>2210</v>
      </c>
      <c r="C64" s="65">
        <v>13212</v>
      </c>
      <c r="D64" s="66"/>
    </row>
    <row r="65" spans="1:4" ht="18.75">
      <c r="A65" s="40" t="s">
        <v>35</v>
      </c>
      <c r="B65" s="35">
        <v>3110</v>
      </c>
      <c r="C65" s="65">
        <v>20211.580000000002</v>
      </c>
      <c r="D65" s="66"/>
    </row>
    <row r="66" spans="1:4" ht="18.75" hidden="1">
      <c r="A66" s="40" t="s">
        <v>37</v>
      </c>
      <c r="B66" s="35">
        <v>2210</v>
      </c>
      <c r="C66" s="65"/>
      <c r="D66" s="66"/>
    </row>
    <row r="67" spans="1:4" ht="18.75" hidden="1">
      <c r="A67" s="40" t="s">
        <v>38</v>
      </c>
      <c r="B67" s="35">
        <v>2210</v>
      </c>
      <c r="C67" s="65"/>
      <c r="D67" s="66"/>
    </row>
    <row r="68" spans="1:4" ht="18.75" hidden="1">
      <c r="A68" s="40" t="s">
        <v>50</v>
      </c>
      <c r="B68" s="35">
        <v>2240</v>
      </c>
      <c r="C68" s="65"/>
      <c r="D68" s="66"/>
    </row>
    <row r="69" spans="1:4" ht="18.75">
      <c r="A69" s="40" t="s">
        <v>42</v>
      </c>
      <c r="B69" s="35">
        <v>2230</v>
      </c>
      <c r="C69" s="65">
        <v>36859.29</v>
      </c>
      <c r="D69" s="66"/>
    </row>
    <row r="70" spans="1:4" ht="18.75" hidden="1">
      <c r="A70" s="40" t="s">
        <v>43</v>
      </c>
      <c r="B70" s="35">
        <v>2210</v>
      </c>
      <c r="C70" s="65"/>
      <c r="D70" s="66"/>
    </row>
    <row r="71" spans="1:4" ht="18.75">
      <c r="A71" s="40" t="s">
        <v>49</v>
      </c>
      <c r="B71" s="35">
        <v>2210</v>
      </c>
      <c r="C71" s="65">
        <f>491.85+766.44</f>
        <v>1258.29</v>
      </c>
      <c r="D71" s="66"/>
    </row>
    <row r="72" spans="1:4" ht="18.75" hidden="1">
      <c r="A72" s="40" t="s">
        <v>47</v>
      </c>
      <c r="B72" s="35">
        <v>2210</v>
      </c>
      <c r="C72" s="65"/>
      <c r="D72" s="66"/>
    </row>
    <row r="73" spans="1:4" ht="18.75" hidden="1">
      <c r="A73" s="40" t="s">
        <v>46</v>
      </c>
      <c r="B73" s="35">
        <v>2210</v>
      </c>
      <c r="C73" s="65"/>
      <c r="D73" s="66"/>
    </row>
    <row r="74" spans="1:4" ht="18.75" hidden="1">
      <c r="A74" s="40" t="s">
        <v>48</v>
      </c>
      <c r="B74" s="41">
        <v>2210</v>
      </c>
      <c r="C74" s="65"/>
      <c r="D74" s="66"/>
    </row>
    <row r="75" spans="1:4" ht="18.75">
      <c r="A75" s="63"/>
      <c r="B75" s="64"/>
      <c r="C75" s="65"/>
      <c r="D75" s="66"/>
    </row>
    <row r="76" spans="1:4" ht="18.75">
      <c r="A76" s="63"/>
      <c r="B76" s="64"/>
      <c r="C76" s="73">
        <f>SUM(C58:D74)</f>
        <v>77394.64</v>
      </c>
      <c r="D76" s="74"/>
    </row>
    <row r="78" spans="1:4" ht="34.5" customHeight="1">
      <c r="A78" s="56" t="s">
        <v>70</v>
      </c>
      <c r="B78" s="57"/>
      <c r="C78" s="57"/>
      <c r="D78" s="57"/>
    </row>
  </sheetData>
  <mergeCells count="31">
    <mergeCell ref="A54:D54"/>
    <mergeCell ref="C70:D70"/>
    <mergeCell ref="A76:B76"/>
    <mergeCell ref="C76:D76"/>
    <mergeCell ref="C71:D71"/>
    <mergeCell ref="C72:D72"/>
    <mergeCell ref="C73:D73"/>
    <mergeCell ref="C74:D74"/>
    <mergeCell ref="A75:B75"/>
    <mergeCell ref="C75:D75"/>
    <mergeCell ref="A3:D3"/>
    <mergeCell ref="A2:D2"/>
    <mergeCell ref="A5:D5"/>
    <mergeCell ref="A28:D28"/>
    <mergeCell ref="A41:D41"/>
    <mergeCell ref="A78:D78"/>
    <mergeCell ref="A53:D53"/>
    <mergeCell ref="C63:D63"/>
    <mergeCell ref="C61:D61"/>
    <mergeCell ref="C59:D59"/>
    <mergeCell ref="C60:D60"/>
    <mergeCell ref="C62:D62"/>
    <mergeCell ref="A57:B57"/>
    <mergeCell ref="C57:D57"/>
    <mergeCell ref="C58:D58"/>
    <mergeCell ref="C64:D64"/>
    <mergeCell ref="C65:D65"/>
    <mergeCell ref="C66:D66"/>
    <mergeCell ref="C67:D67"/>
    <mergeCell ref="C68:D68"/>
    <mergeCell ref="C69:D6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2:I77"/>
  <sheetViews>
    <sheetView workbookViewId="0">
      <selection activeCell="F11" sqref="F1:F1048576"/>
    </sheetView>
  </sheetViews>
  <sheetFormatPr defaultRowHeight="15"/>
  <cols>
    <col min="1" max="1" width="40.875" style="3" customWidth="1"/>
    <col min="2" max="2" width="9.125" style="1" customWidth="1"/>
    <col min="3" max="3" width="17.75" customWidth="1"/>
    <col min="4" max="4" width="16.875" customWidth="1"/>
    <col min="5" max="5" width="10.75" hidden="1" customWidth="1"/>
    <col min="6" max="6" width="11.625" hidden="1" customWidth="1"/>
  </cols>
  <sheetData>
    <row r="2" spans="1:6" ht="58.5" customHeight="1">
      <c r="A2" s="61" t="s">
        <v>68</v>
      </c>
      <c r="B2" s="62"/>
      <c r="C2" s="62"/>
      <c r="D2" s="62"/>
    </row>
    <row r="3" spans="1:6" ht="42" customHeight="1">
      <c r="A3" s="70" t="s">
        <v>58</v>
      </c>
      <c r="B3" s="71"/>
      <c r="C3" s="71"/>
      <c r="D3" s="71"/>
    </row>
    <row r="4" spans="1:6" ht="18.75">
      <c r="A4" s="6"/>
      <c r="B4" s="7"/>
      <c r="C4" s="8"/>
      <c r="D4" s="8"/>
    </row>
    <row r="5" spans="1:6" ht="39.75" customHeight="1">
      <c r="A5" s="67" t="s">
        <v>24</v>
      </c>
      <c r="B5" s="68"/>
      <c r="C5" s="68"/>
      <c r="D5" s="68"/>
    </row>
    <row r="6" spans="1:6" s="2" customFormat="1" ht="75.75" customHeight="1">
      <c r="A6" s="9" t="s">
        <v>0</v>
      </c>
      <c r="B6" s="9" t="s">
        <v>1</v>
      </c>
      <c r="C6" s="10" t="s">
        <v>23</v>
      </c>
      <c r="D6" s="10" t="s">
        <v>17</v>
      </c>
    </row>
    <row r="7" spans="1:6" s="2" customFormat="1" ht="18.75">
      <c r="A7" s="21" t="s">
        <v>22</v>
      </c>
      <c r="B7" s="16">
        <v>2111</v>
      </c>
      <c r="C7" s="23">
        <v>2971170</v>
      </c>
      <c r="D7" s="23">
        <v>2741807.67</v>
      </c>
      <c r="E7" s="26">
        <f>C7-D7</f>
        <v>229362.33000000007</v>
      </c>
      <c r="F7" s="26">
        <f>C7-D7</f>
        <v>229362.33000000007</v>
      </c>
    </row>
    <row r="8" spans="1:6" s="2" customFormat="1" ht="18.75">
      <c r="A8" s="21" t="s">
        <v>44</v>
      </c>
      <c r="B8" s="16">
        <v>2120</v>
      </c>
      <c r="C8" s="23">
        <f>653660-25000</f>
        <v>628660</v>
      </c>
      <c r="D8" s="23">
        <v>601340.21</v>
      </c>
      <c r="E8" s="26">
        <f t="shared" ref="E8:E25" si="0">C8-D8</f>
        <v>27319.790000000037</v>
      </c>
      <c r="F8" s="26">
        <f t="shared" ref="F8:F25" si="1">C8-D8</f>
        <v>27319.790000000037</v>
      </c>
    </row>
    <row r="9" spans="1:6" ht="37.5">
      <c r="A9" s="11" t="s">
        <v>2</v>
      </c>
      <c r="B9" s="16">
        <v>2210</v>
      </c>
      <c r="C9" s="13">
        <f>200023+14900+95000-4000</f>
        <v>305923</v>
      </c>
      <c r="D9" s="13">
        <f>5856.5+296444.28</f>
        <v>302300.78000000003</v>
      </c>
      <c r="E9" s="26">
        <f t="shared" si="0"/>
        <v>3622.2199999999721</v>
      </c>
      <c r="F9" s="26">
        <f t="shared" si="1"/>
        <v>3622.2199999999721</v>
      </c>
    </row>
    <row r="10" spans="1:6" ht="18.75">
      <c r="A10" s="11" t="s">
        <v>3</v>
      </c>
      <c r="B10" s="16">
        <v>2230</v>
      </c>
      <c r="C10" s="13">
        <v>201960</v>
      </c>
      <c r="D10" s="13">
        <v>197887.32</v>
      </c>
      <c r="E10" s="26">
        <f t="shared" si="0"/>
        <v>4072.679999999993</v>
      </c>
      <c r="F10" s="26">
        <f t="shared" si="1"/>
        <v>4072.679999999993</v>
      </c>
    </row>
    <row r="11" spans="1:6" ht="18.75">
      <c r="A11" s="11" t="s">
        <v>4</v>
      </c>
      <c r="B11" s="16">
        <v>2240</v>
      </c>
      <c r="C11" s="13">
        <f>54980+55000+15000-8240</f>
        <v>116740</v>
      </c>
      <c r="D11" s="13">
        <v>108039.07</v>
      </c>
      <c r="E11" s="26">
        <f t="shared" si="0"/>
        <v>8700.929999999993</v>
      </c>
      <c r="F11" s="26">
        <f t="shared" si="1"/>
        <v>8700.929999999993</v>
      </c>
    </row>
    <row r="12" spans="1:6" ht="18.75">
      <c r="A12" s="11" t="s">
        <v>5</v>
      </c>
      <c r="B12" s="16">
        <v>2250</v>
      </c>
      <c r="C12" s="13">
        <v>900</v>
      </c>
      <c r="D12" s="13">
        <v>900</v>
      </c>
      <c r="E12" s="26">
        <f t="shared" si="0"/>
        <v>0</v>
      </c>
      <c r="F12" s="26">
        <f t="shared" si="1"/>
        <v>0</v>
      </c>
    </row>
    <row r="13" spans="1:6" ht="18.75" hidden="1">
      <c r="A13" s="11" t="s">
        <v>6</v>
      </c>
      <c r="B13" s="16">
        <v>2271</v>
      </c>
      <c r="C13" s="13"/>
      <c r="D13" s="13"/>
      <c r="E13" s="26">
        <f t="shared" si="0"/>
        <v>0</v>
      </c>
      <c r="F13" s="26">
        <f t="shared" si="1"/>
        <v>0</v>
      </c>
    </row>
    <row r="14" spans="1:6" ht="37.5" hidden="1">
      <c r="A14" s="11" t="s">
        <v>7</v>
      </c>
      <c r="B14" s="16">
        <v>2272</v>
      </c>
      <c r="C14" s="13"/>
      <c r="D14" s="13"/>
      <c r="E14" s="26">
        <f t="shared" si="0"/>
        <v>0</v>
      </c>
      <c r="F14" s="26">
        <f t="shared" si="1"/>
        <v>0</v>
      </c>
    </row>
    <row r="15" spans="1:6" ht="18.75">
      <c r="A15" s="11" t="s">
        <v>8</v>
      </c>
      <c r="B15" s="16">
        <v>2273</v>
      </c>
      <c r="C15" s="13">
        <v>50920</v>
      </c>
      <c r="D15" s="13">
        <v>49801.83</v>
      </c>
      <c r="E15" s="26">
        <f t="shared" si="0"/>
        <v>1118.1699999999983</v>
      </c>
      <c r="F15" s="26">
        <f t="shared" si="1"/>
        <v>1118.1699999999983</v>
      </c>
    </row>
    <row r="16" spans="1:6" ht="18.75" hidden="1">
      <c r="A16" s="11" t="s">
        <v>9</v>
      </c>
      <c r="B16" s="16">
        <v>2274</v>
      </c>
      <c r="C16" s="13"/>
      <c r="D16" s="13"/>
      <c r="E16" s="26">
        <f t="shared" si="0"/>
        <v>0</v>
      </c>
      <c r="F16" s="26">
        <f t="shared" si="1"/>
        <v>0</v>
      </c>
    </row>
    <row r="17" spans="1:9" ht="18.75">
      <c r="A17" s="11" t="s">
        <v>10</v>
      </c>
      <c r="B17" s="16">
        <v>2275</v>
      </c>
      <c r="C17" s="13">
        <f>993900-163000</f>
        <v>830900</v>
      </c>
      <c r="D17" s="13">
        <v>830250</v>
      </c>
      <c r="E17" s="26">
        <f t="shared" si="0"/>
        <v>650</v>
      </c>
      <c r="F17" s="26">
        <f t="shared" si="1"/>
        <v>650</v>
      </c>
    </row>
    <row r="18" spans="1:9" ht="32.25" customHeight="1">
      <c r="A18" s="11" t="s">
        <v>11</v>
      </c>
      <c r="B18" s="16">
        <v>2282</v>
      </c>
      <c r="C18" s="13">
        <f>1600+450</f>
        <v>2050</v>
      </c>
      <c r="D18" s="13">
        <v>2001.58</v>
      </c>
      <c r="E18" s="26">
        <f t="shared" si="0"/>
        <v>48.420000000000073</v>
      </c>
      <c r="F18" s="26">
        <f t="shared" si="1"/>
        <v>48.420000000000073</v>
      </c>
    </row>
    <row r="19" spans="1:9" ht="18" hidden="1" customHeight="1">
      <c r="A19" s="11" t="s">
        <v>14</v>
      </c>
      <c r="B19" s="16">
        <v>2730</v>
      </c>
      <c r="C19" s="13"/>
      <c r="D19" s="13"/>
      <c r="E19" s="26">
        <f t="shared" si="0"/>
        <v>0</v>
      </c>
      <c r="F19" s="26">
        <f t="shared" si="1"/>
        <v>0</v>
      </c>
    </row>
    <row r="20" spans="1:9" ht="15.75" customHeight="1">
      <c r="A20" s="11" t="s">
        <v>15</v>
      </c>
      <c r="B20" s="16">
        <v>2800</v>
      </c>
      <c r="C20" s="13">
        <f>4710+2400</f>
        <v>7110</v>
      </c>
      <c r="D20" s="13">
        <v>7099.37</v>
      </c>
      <c r="E20" s="26">
        <f t="shared" si="0"/>
        <v>10.630000000000109</v>
      </c>
      <c r="F20" s="26">
        <f t="shared" si="1"/>
        <v>10.630000000000109</v>
      </c>
    </row>
    <row r="21" spans="1:9" ht="36.75" customHeight="1">
      <c r="A21" s="11" t="s">
        <v>12</v>
      </c>
      <c r="B21" s="16">
        <v>3110</v>
      </c>
      <c r="C21" s="13">
        <f>14000+2015533</f>
        <v>2029533</v>
      </c>
      <c r="D21" s="13">
        <f>14000+2014999.82</f>
        <v>2028999.82</v>
      </c>
      <c r="E21" s="26">
        <f t="shared" si="0"/>
        <v>533.17999999993481</v>
      </c>
      <c r="F21" s="26">
        <f t="shared" si="1"/>
        <v>533.17999999993481</v>
      </c>
      <c r="H21" s="38"/>
    </row>
    <row r="22" spans="1:9" ht="37.5" hidden="1">
      <c r="A22" s="11" t="s">
        <v>20</v>
      </c>
      <c r="B22" s="16">
        <v>3122</v>
      </c>
      <c r="C22" s="13"/>
      <c r="D22" s="13"/>
      <c r="E22" s="26">
        <f t="shared" si="0"/>
        <v>0</v>
      </c>
      <c r="F22" s="26">
        <f t="shared" si="1"/>
        <v>0</v>
      </c>
      <c r="I22" t="s">
        <v>19</v>
      </c>
    </row>
    <row r="23" spans="1:9" ht="18.75">
      <c r="A23" s="11" t="s">
        <v>21</v>
      </c>
      <c r="B23" s="16">
        <v>3132</v>
      </c>
      <c r="C23" s="13">
        <v>29376</v>
      </c>
      <c r="D23" s="13">
        <v>29376</v>
      </c>
      <c r="E23" s="26">
        <f t="shared" si="0"/>
        <v>0</v>
      </c>
      <c r="F23" s="26">
        <f t="shared" si="1"/>
        <v>0</v>
      </c>
    </row>
    <row r="24" spans="1:9" ht="37.5" hidden="1">
      <c r="A24" s="32" t="s">
        <v>45</v>
      </c>
      <c r="B24" s="16">
        <v>3142</v>
      </c>
      <c r="C24" s="13"/>
      <c r="D24" s="13"/>
      <c r="E24" s="26">
        <f t="shared" si="0"/>
        <v>0</v>
      </c>
      <c r="F24" s="26">
        <f t="shared" si="1"/>
        <v>0</v>
      </c>
    </row>
    <row r="25" spans="1:9" ht="18.75">
      <c r="A25" s="11" t="s">
        <v>13</v>
      </c>
      <c r="B25" s="16"/>
      <c r="C25" s="14">
        <f>SUM(C7:C24)</f>
        <v>7175242</v>
      </c>
      <c r="D25" s="14">
        <f>SUM(D7:D24)</f>
        <v>6899803.6500000004</v>
      </c>
      <c r="E25" s="26">
        <f t="shared" si="0"/>
        <v>275438.34999999963</v>
      </c>
      <c r="F25" s="26">
        <f t="shared" si="1"/>
        <v>275438.34999999963</v>
      </c>
    </row>
    <row r="26" spans="1:9" ht="18.75">
      <c r="A26" s="6"/>
      <c r="B26" s="22"/>
      <c r="C26" s="8"/>
      <c r="D26" s="8"/>
    </row>
    <row r="27" spans="1:9" hidden="1">
      <c r="C27" s="4"/>
      <c r="D27" s="4"/>
    </row>
    <row r="28" spans="1:9" ht="30" hidden="1" customHeight="1">
      <c r="A28" s="61" t="s">
        <v>25</v>
      </c>
      <c r="B28" s="69"/>
      <c r="C28" s="69"/>
      <c r="D28" s="69"/>
    </row>
    <row r="29" spans="1:9" hidden="1">
      <c r="D29" s="30"/>
    </row>
    <row r="30" spans="1:9" ht="56.25" hidden="1">
      <c r="A30" s="15" t="s">
        <v>0</v>
      </c>
      <c r="B30" s="15" t="s">
        <v>1</v>
      </c>
      <c r="C30" s="10"/>
      <c r="D30" s="10" t="s">
        <v>18</v>
      </c>
    </row>
    <row r="31" spans="1:9" ht="37.5" hidden="1">
      <c r="A31" s="11" t="s">
        <v>2</v>
      </c>
      <c r="B31" s="17">
        <v>2210</v>
      </c>
      <c r="C31" s="13"/>
      <c r="D31" s="13"/>
      <c r="F31" s="26"/>
    </row>
    <row r="32" spans="1:9" ht="18.75" hidden="1">
      <c r="A32" s="12" t="s">
        <v>3</v>
      </c>
      <c r="B32" s="17">
        <v>2230</v>
      </c>
      <c r="C32" s="13"/>
      <c r="D32" s="13"/>
      <c r="F32" s="26"/>
    </row>
    <row r="33" spans="1:6" ht="18.75" hidden="1">
      <c r="A33" s="12" t="s">
        <v>4</v>
      </c>
      <c r="B33" s="17">
        <v>2240</v>
      </c>
      <c r="C33" s="13"/>
      <c r="D33" s="13"/>
      <c r="F33" s="26"/>
    </row>
    <row r="34" spans="1:6" ht="18.75" hidden="1">
      <c r="A34" s="12" t="s">
        <v>10</v>
      </c>
      <c r="B34" s="17">
        <v>2275</v>
      </c>
      <c r="C34" s="13"/>
      <c r="D34" s="13"/>
      <c r="F34" s="26"/>
    </row>
    <row r="35" spans="1:6" ht="18.75" hidden="1">
      <c r="A35" s="11" t="s">
        <v>15</v>
      </c>
      <c r="B35" s="17">
        <v>2800</v>
      </c>
      <c r="C35" s="13"/>
      <c r="D35" s="13"/>
      <c r="F35" s="26"/>
    </row>
    <row r="36" spans="1:6" ht="37.5" hidden="1">
      <c r="A36" s="11" t="s">
        <v>12</v>
      </c>
      <c r="B36" s="17">
        <v>3110</v>
      </c>
      <c r="C36" s="13"/>
      <c r="D36" s="13"/>
      <c r="F36" s="26"/>
    </row>
    <row r="37" spans="1:6" ht="18.75" hidden="1">
      <c r="A37" s="18" t="s">
        <v>16</v>
      </c>
      <c r="B37" s="19">
        <v>3132</v>
      </c>
      <c r="C37" s="20"/>
      <c r="D37" s="20"/>
      <c r="F37" s="26"/>
    </row>
    <row r="38" spans="1:6" ht="18.75" hidden="1">
      <c r="A38" s="11" t="s">
        <v>13</v>
      </c>
      <c r="B38" s="17"/>
      <c r="C38" s="14">
        <f>SUM(C31:C37)</f>
        <v>0</v>
      </c>
      <c r="D38" s="14">
        <f>SUM(D31:D37)</f>
        <v>0</v>
      </c>
      <c r="F38" s="26"/>
    </row>
    <row r="39" spans="1:6" hidden="1">
      <c r="A39" s="1"/>
      <c r="B39" s="5"/>
      <c r="C39" s="4"/>
      <c r="D39" s="4"/>
    </row>
    <row r="40" spans="1:6" hidden="1">
      <c r="A40" s="1"/>
      <c r="B40" s="5"/>
      <c r="C40" s="4"/>
      <c r="D40" s="4"/>
    </row>
    <row r="41" spans="1:6" ht="34.5" customHeight="1">
      <c r="A41" s="56" t="s">
        <v>26</v>
      </c>
      <c r="B41" s="56"/>
      <c r="C41" s="56"/>
      <c r="D41" s="56"/>
    </row>
    <row r="42" spans="1:6">
      <c r="A42" s="1"/>
      <c r="B42" s="5"/>
      <c r="C42" s="4"/>
      <c r="D42" s="4"/>
    </row>
    <row r="43" spans="1:6" ht="56.25">
      <c r="A43" s="42" t="s">
        <v>0</v>
      </c>
      <c r="B43" s="42" t="s">
        <v>1</v>
      </c>
      <c r="C43" s="10" t="s">
        <v>23</v>
      </c>
      <c r="D43" s="10" t="s">
        <v>18</v>
      </c>
    </row>
    <row r="44" spans="1:6" ht="37.5">
      <c r="A44" s="40" t="s">
        <v>2</v>
      </c>
      <c r="B44" s="17">
        <v>2210</v>
      </c>
      <c r="C44" s="37">
        <v>50280.59</v>
      </c>
      <c r="D44" s="37">
        <v>50280.59</v>
      </c>
      <c r="F44" s="26"/>
    </row>
    <row r="45" spans="1:6" ht="18.75">
      <c r="A45" s="12" t="s">
        <v>3</v>
      </c>
      <c r="B45" s="17">
        <v>2230</v>
      </c>
      <c r="C45" s="37">
        <v>36714.35</v>
      </c>
      <c r="D45" s="37">
        <v>36714.35</v>
      </c>
      <c r="F45" s="26"/>
    </row>
    <row r="46" spans="1:6" ht="18.75" hidden="1">
      <c r="A46" s="12" t="s">
        <v>4</v>
      </c>
      <c r="B46" s="17">
        <v>2240</v>
      </c>
      <c r="C46" s="37"/>
      <c r="D46" s="37"/>
      <c r="F46" s="26"/>
    </row>
    <row r="47" spans="1:6" ht="18.75" hidden="1">
      <c r="A47" s="12" t="s">
        <v>10</v>
      </c>
      <c r="B47" s="17">
        <v>2275</v>
      </c>
      <c r="C47" s="37"/>
      <c r="D47" s="37"/>
      <c r="F47" s="26"/>
    </row>
    <row r="48" spans="1:6" ht="18.75" hidden="1">
      <c r="A48" s="40" t="s">
        <v>15</v>
      </c>
      <c r="B48" s="17">
        <v>2800</v>
      </c>
      <c r="C48" s="37"/>
      <c r="D48" s="37"/>
      <c r="F48" s="26"/>
    </row>
    <row r="49" spans="1:6" ht="37.5">
      <c r="A49" s="40" t="s">
        <v>12</v>
      </c>
      <c r="B49" s="17">
        <v>3110</v>
      </c>
      <c r="C49" s="37">
        <v>21044.49</v>
      </c>
      <c r="D49" s="37">
        <v>21044.49</v>
      </c>
      <c r="F49" s="26"/>
    </row>
    <row r="50" spans="1:6" ht="18.75" hidden="1">
      <c r="A50" s="18" t="s">
        <v>16</v>
      </c>
      <c r="B50" s="19">
        <v>3132</v>
      </c>
      <c r="C50" s="13">
        <f t="shared" ref="C50" si="2">D50</f>
        <v>0</v>
      </c>
      <c r="D50" s="20"/>
      <c r="F50" s="26"/>
    </row>
    <row r="51" spans="1:6" ht="18.75">
      <c r="A51" s="40" t="s">
        <v>13</v>
      </c>
      <c r="B51" s="17"/>
      <c r="C51" s="14">
        <f>SUM(C44:C50)</f>
        <v>108039.43000000001</v>
      </c>
      <c r="D51" s="14">
        <f>SUM(D44:D50)</f>
        <v>108039.43000000001</v>
      </c>
      <c r="F51" s="26"/>
    </row>
    <row r="54" spans="1:6" ht="41.25" customHeight="1">
      <c r="A54" s="56" t="s">
        <v>69</v>
      </c>
      <c r="B54" s="80"/>
      <c r="C54" s="80"/>
      <c r="D54" s="80"/>
    </row>
    <row r="55" spans="1:6" ht="15" customHeight="1">
      <c r="A55" s="56"/>
      <c r="B55" s="57"/>
      <c r="C55" s="57"/>
      <c r="D55" s="57"/>
    </row>
    <row r="57" spans="1:6" ht="18.75">
      <c r="A57" s="81" t="s">
        <v>27</v>
      </c>
      <c r="B57" s="82"/>
      <c r="C57" s="60" t="s">
        <v>28</v>
      </c>
      <c r="D57" s="59"/>
    </row>
    <row r="58" spans="1:6" ht="18.75">
      <c r="A58" s="40" t="s">
        <v>39</v>
      </c>
      <c r="B58" s="48">
        <v>2210</v>
      </c>
      <c r="C58" s="65">
        <f>8140.5+1066.8+1526+1218+1792</f>
        <v>13743.3</v>
      </c>
      <c r="D58" s="66"/>
      <c r="F58" s="33"/>
    </row>
    <row r="59" spans="1:6" ht="18" customHeight="1">
      <c r="A59" s="40" t="s">
        <v>33</v>
      </c>
      <c r="B59" s="48">
        <v>2210</v>
      </c>
      <c r="C59" s="65">
        <v>390</v>
      </c>
      <c r="D59" s="66"/>
    </row>
    <row r="60" spans="1:6" ht="18.75" customHeight="1">
      <c r="A60" s="40" t="s">
        <v>36</v>
      </c>
      <c r="B60" s="48">
        <v>2210</v>
      </c>
      <c r="C60" s="65">
        <v>2062</v>
      </c>
      <c r="D60" s="66"/>
    </row>
    <row r="61" spans="1:6" ht="18.75" customHeight="1">
      <c r="A61" s="40" t="s">
        <v>41</v>
      </c>
      <c r="B61" s="47" t="s">
        <v>55</v>
      </c>
      <c r="C61" s="65">
        <v>6500</v>
      </c>
      <c r="D61" s="66"/>
    </row>
    <row r="62" spans="1:6" ht="18.75" customHeight="1">
      <c r="A62" s="40" t="s">
        <v>32</v>
      </c>
      <c r="B62" s="48">
        <v>2210</v>
      </c>
      <c r="C62" s="65">
        <v>1000</v>
      </c>
      <c r="D62" s="66"/>
    </row>
    <row r="63" spans="1:6" ht="18.75" hidden="1" customHeight="1">
      <c r="A63" s="40" t="s">
        <v>34</v>
      </c>
      <c r="B63" s="48">
        <v>2210</v>
      </c>
      <c r="C63" s="65"/>
      <c r="D63" s="66"/>
    </row>
    <row r="64" spans="1:6" ht="18.75">
      <c r="A64" s="40" t="s">
        <v>40</v>
      </c>
      <c r="B64" s="48">
        <v>2210</v>
      </c>
      <c r="C64" s="65">
        <f>16822+15005</f>
        <v>31827</v>
      </c>
      <c r="D64" s="66"/>
    </row>
    <row r="65" spans="1:4" ht="18.75" customHeight="1">
      <c r="A65" s="40" t="s">
        <v>35</v>
      </c>
      <c r="B65" s="48">
        <v>3110</v>
      </c>
      <c r="C65" s="65">
        <f>11001.43+3543.06</f>
        <v>14544.49</v>
      </c>
      <c r="D65" s="66"/>
    </row>
    <row r="66" spans="1:4" ht="18.75" hidden="1" customHeight="1">
      <c r="A66" s="40" t="s">
        <v>37</v>
      </c>
      <c r="B66" s="48">
        <v>2210</v>
      </c>
      <c r="C66" s="78"/>
      <c r="D66" s="79"/>
    </row>
    <row r="67" spans="1:4" ht="18.75" hidden="1" customHeight="1">
      <c r="A67" s="40" t="s">
        <v>38</v>
      </c>
      <c r="B67" s="48">
        <v>2210</v>
      </c>
      <c r="C67" s="78"/>
      <c r="D67" s="79"/>
    </row>
    <row r="68" spans="1:4" ht="18.75" hidden="1" customHeight="1">
      <c r="A68" s="40" t="s">
        <v>50</v>
      </c>
      <c r="B68" s="48">
        <v>2240</v>
      </c>
      <c r="C68" s="78"/>
      <c r="D68" s="79"/>
    </row>
    <row r="69" spans="1:4" ht="18.75">
      <c r="A69" s="40" t="s">
        <v>42</v>
      </c>
      <c r="B69" s="48">
        <v>2230</v>
      </c>
      <c r="C69" s="65">
        <v>36714.35</v>
      </c>
      <c r="D69" s="66"/>
    </row>
    <row r="70" spans="1:4" ht="18.75" hidden="1">
      <c r="A70" s="40" t="s">
        <v>43</v>
      </c>
      <c r="B70" s="48">
        <v>2210</v>
      </c>
      <c r="C70" s="78"/>
      <c r="D70" s="79"/>
    </row>
    <row r="71" spans="1:4" ht="18.75" customHeight="1">
      <c r="A71" s="40" t="s">
        <v>49</v>
      </c>
      <c r="B71" s="48">
        <v>2210</v>
      </c>
      <c r="C71" s="65">
        <f>491.85+766.44</f>
        <v>1258.29</v>
      </c>
      <c r="D71" s="66"/>
    </row>
    <row r="72" spans="1:4" ht="18.75" hidden="1" customHeight="1">
      <c r="A72" s="40" t="s">
        <v>47</v>
      </c>
      <c r="B72" s="48">
        <v>2210</v>
      </c>
      <c r="C72" s="65"/>
      <c r="D72" s="66"/>
    </row>
    <row r="73" spans="1:4" ht="18.75" hidden="1" customHeight="1">
      <c r="A73" s="40" t="s">
        <v>46</v>
      </c>
      <c r="B73" s="48">
        <v>2210</v>
      </c>
      <c r="C73" s="65"/>
      <c r="D73" s="66"/>
    </row>
    <row r="74" spans="1:4" ht="18.75" hidden="1" customHeight="1">
      <c r="A74" s="40" t="s">
        <v>48</v>
      </c>
      <c r="B74" s="41">
        <v>2210</v>
      </c>
      <c r="C74" s="65"/>
      <c r="D74" s="66"/>
    </row>
    <row r="75" spans="1:4" ht="37.5" hidden="1">
      <c r="A75" s="40" t="s">
        <v>53</v>
      </c>
      <c r="B75" s="41">
        <v>3110</v>
      </c>
      <c r="C75" s="65"/>
      <c r="D75" s="66"/>
    </row>
    <row r="76" spans="1:4" ht="18.75">
      <c r="A76" s="63"/>
      <c r="B76" s="64"/>
      <c r="C76" s="65"/>
      <c r="D76" s="66"/>
    </row>
    <row r="77" spans="1:4" ht="18.75">
      <c r="A77" s="63"/>
      <c r="B77" s="64"/>
      <c r="C77" s="73">
        <f>SUM(C58:D76)</f>
        <v>108039.43000000001</v>
      </c>
      <c r="D77" s="74"/>
    </row>
  </sheetData>
  <mergeCells count="31">
    <mergeCell ref="C59:D59"/>
    <mergeCell ref="C58:D58"/>
    <mergeCell ref="C72:D72"/>
    <mergeCell ref="C73:D73"/>
    <mergeCell ref="C65:D65"/>
    <mergeCell ref="C66:D66"/>
    <mergeCell ref="C67:D67"/>
    <mergeCell ref="C68:D68"/>
    <mergeCell ref="C69:D69"/>
    <mergeCell ref="C71:D71"/>
    <mergeCell ref="A77:B77"/>
    <mergeCell ref="C77:D77"/>
    <mergeCell ref="C75:D75"/>
    <mergeCell ref="A76:B76"/>
    <mergeCell ref="C76:D76"/>
    <mergeCell ref="A54:D54"/>
    <mergeCell ref="C74:D74"/>
    <mergeCell ref="A3:D3"/>
    <mergeCell ref="A2:D2"/>
    <mergeCell ref="A5:D5"/>
    <mergeCell ref="A28:D28"/>
    <mergeCell ref="A41:D41"/>
    <mergeCell ref="A55:D55"/>
    <mergeCell ref="A57:B57"/>
    <mergeCell ref="C57:D57"/>
    <mergeCell ref="C60:D60"/>
    <mergeCell ref="C61:D61"/>
    <mergeCell ref="C62:D62"/>
    <mergeCell ref="C63:D63"/>
    <mergeCell ref="C64:D64"/>
    <mergeCell ref="C70:D70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77"/>
  <sheetViews>
    <sheetView workbookViewId="0">
      <selection activeCell="F7" sqref="F1:F1048576"/>
    </sheetView>
  </sheetViews>
  <sheetFormatPr defaultRowHeight="15"/>
  <cols>
    <col min="1" max="1" width="40.875" style="3" customWidth="1"/>
    <col min="2" max="2" width="9.5" style="1" customWidth="1"/>
    <col min="3" max="3" width="18.25" customWidth="1"/>
    <col min="4" max="4" width="14.5" customWidth="1"/>
    <col min="5" max="5" width="10" hidden="1" customWidth="1"/>
    <col min="6" max="6" width="11.375" hidden="1" customWidth="1"/>
  </cols>
  <sheetData>
    <row r="2" spans="1:9" ht="58.5" customHeight="1">
      <c r="A2" s="61" t="s">
        <v>68</v>
      </c>
      <c r="B2" s="62"/>
      <c r="C2" s="62"/>
      <c r="D2" s="62"/>
    </row>
    <row r="3" spans="1:9" ht="65.25" customHeight="1">
      <c r="A3" s="70" t="s">
        <v>59</v>
      </c>
      <c r="B3" s="71"/>
      <c r="C3" s="71"/>
      <c r="D3" s="71"/>
      <c r="I3" s="31"/>
    </row>
    <row r="4" spans="1:9" ht="18.75">
      <c r="A4" s="6"/>
      <c r="B4" s="7"/>
      <c r="C4" s="8"/>
      <c r="D4" s="8"/>
    </row>
    <row r="5" spans="1:9" ht="39.75" customHeight="1">
      <c r="A5" s="67" t="s">
        <v>24</v>
      </c>
      <c r="B5" s="68"/>
      <c r="C5" s="68"/>
      <c r="D5" s="68"/>
    </row>
    <row r="6" spans="1:9" s="2" customFormat="1" ht="75.75" customHeight="1">
      <c r="A6" s="9" t="s">
        <v>0</v>
      </c>
      <c r="B6" s="9" t="s">
        <v>1</v>
      </c>
      <c r="C6" s="10" t="s">
        <v>23</v>
      </c>
      <c r="D6" s="10" t="s">
        <v>17</v>
      </c>
    </row>
    <row r="7" spans="1:9" s="2" customFormat="1" ht="18.75">
      <c r="A7" s="21" t="s">
        <v>22</v>
      </c>
      <c r="B7" s="16">
        <v>2111</v>
      </c>
      <c r="C7" s="23">
        <f>3909800+139480-60000-20000</f>
        <v>3969280</v>
      </c>
      <c r="D7" s="23">
        <f>3730966.74+102682.04</f>
        <v>3833648.7800000003</v>
      </c>
      <c r="E7" s="26">
        <f>C7-D7</f>
        <v>135631.21999999974</v>
      </c>
      <c r="F7" s="26">
        <f>C7-D7</f>
        <v>135631.21999999974</v>
      </c>
    </row>
    <row r="8" spans="1:9" s="2" customFormat="1" ht="18.75">
      <c r="A8" s="21" t="s">
        <v>44</v>
      </c>
      <c r="B8" s="16">
        <v>2120</v>
      </c>
      <c r="C8" s="23">
        <f>861690+30680-15000</f>
        <v>877370</v>
      </c>
      <c r="D8" s="23">
        <f>22721.96+839683.33</f>
        <v>862405.28999999992</v>
      </c>
      <c r="E8" s="26">
        <f t="shared" ref="E8:E25" si="0">C8-D8</f>
        <v>14964.710000000079</v>
      </c>
      <c r="F8" s="26">
        <f t="shared" ref="F8:F25" si="1">C8-D8</f>
        <v>14964.710000000079</v>
      </c>
    </row>
    <row r="9" spans="1:9" ht="37.5">
      <c r="A9" s="11" t="s">
        <v>2</v>
      </c>
      <c r="B9" s="16">
        <v>2210</v>
      </c>
      <c r="C9" s="13">
        <f>164176.18+23400+65000-5000</f>
        <v>247576.18</v>
      </c>
      <c r="D9" s="13">
        <f>7975.5+236989.97</f>
        <v>244965.47</v>
      </c>
      <c r="E9" s="26">
        <f t="shared" si="0"/>
        <v>2610.7099999999919</v>
      </c>
      <c r="F9" s="26">
        <f t="shared" si="1"/>
        <v>2610.7099999999919</v>
      </c>
    </row>
    <row r="10" spans="1:9" ht="18.75">
      <c r="A10" s="11" t="s">
        <v>3</v>
      </c>
      <c r="B10" s="16">
        <v>2230</v>
      </c>
      <c r="C10" s="13">
        <f>273140+10630</f>
        <v>283770</v>
      </c>
      <c r="D10" s="13">
        <v>272928.73</v>
      </c>
      <c r="E10" s="26">
        <f t="shared" si="0"/>
        <v>10841.270000000019</v>
      </c>
      <c r="F10" s="26">
        <f t="shared" si="1"/>
        <v>10841.270000000019</v>
      </c>
    </row>
    <row r="11" spans="1:9" ht="18.75">
      <c r="A11" s="11" t="s">
        <v>4</v>
      </c>
      <c r="B11" s="16">
        <v>2240</v>
      </c>
      <c r="C11" s="13">
        <f>1079925-145000-32000-136000-55000-5000-520000</f>
        <v>186925</v>
      </c>
      <c r="D11" s="13">
        <v>166414.15</v>
      </c>
      <c r="E11" s="26">
        <f t="shared" si="0"/>
        <v>20510.850000000006</v>
      </c>
      <c r="F11" s="26">
        <f t="shared" si="1"/>
        <v>20510.850000000006</v>
      </c>
    </row>
    <row r="12" spans="1:9" ht="18.75">
      <c r="A12" s="11" t="s">
        <v>5</v>
      </c>
      <c r="B12" s="16">
        <v>2250</v>
      </c>
      <c r="C12" s="13">
        <v>900</v>
      </c>
      <c r="D12" s="13">
        <v>900</v>
      </c>
      <c r="E12" s="26">
        <f t="shared" si="0"/>
        <v>0</v>
      </c>
      <c r="F12" s="26">
        <f t="shared" si="1"/>
        <v>0</v>
      </c>
    </row>
    <row r="13" spans="1:9" ht="18.75" hidden="1">
      <c r="A13" s="11" t="s">
        <v>6</v>
      </c>
      <c r="B13" s="16">
        <v>2271</v>
      </c>
      <c r="C13" s="13"/>
      <c r="D13" s="13"/>
      <c r="E13" s="26">
        <f t="shared" si="0"/>
        <v>0</v>
      </c>
      <c r="F13" s="26">
        <f t="shared" si="1"/>
        <v>0</v>
      </c>
    </row>
    <row r="14" spans="1:9" ht="37.5" hidden="1">
      <c r="A14" s="11" t="s">
        <v>7</v>
      </c>
      <c r="B14" s="16">
        <v>2272</v>
      </c>
      <c r="C14" s="13"/>
      <c r="D14" s="13"/>
      <c r="E14" s="26">
        <f t="shared" si="0"/>
        <v>0</v>
      </c>
      <c r="F14" s="26">
        <f t="shared" si="1"/>
        <v>0</v>
      </c>
    </row>
    <row r="15" spans="1:9" ht="18.75">
      <c r="A15" s="11" t="s">
        <v>8</v>
      </c>
      <c r="B15" s="16">
        <v>2273</v>
      </c>
      <c r="C15" s="13">
        <v>65900</v>
      </c>
      <c r="D15" s="13">
        <v>62537.9</v>
      </c>
      <c r="E15" s="26">
        <f t="shared" si="0"/>
        <v>3362.0999999999985</v>
      </c>
      <c r="F15" s="26">
        <f t="shared" si="1"/>
        <v>3362.0999999999985</v>
      </c>
    </row>
    <row r="16" spans="1:9" ht="18.75" hidden="1">
      <c r="A16" s="11" t="s">
        <v>9</v>
      </c>
      <c r="B16" s="16">
        <v>2274</v>
      </c>
      <c r="C16" s="13"/>
      <c r="D16" s="13"/>
      <c r="E16" s="26">
        <f t="shared" si="0"/>
        <v>0</v>
      </c>
      <c r="F16" s="26">
        <f t="shared" si="1"/>
        <v>0</v>
      </c>
    </row>
    <row r="17" spans="1:9" ht="18.75">
      <c r="A17" s="11" t="s">
        <v>10</v>
      </c>
      <c r="B17" s="16">
        <v>2275</v>
      </c>
      <c r="C17" s="13">
        <f>268710+152000+163000+259000</f>
        <v>842710</v>
      </c>
      <c r="D17" s="13">
        <v>840250</v>
      </c>
      <c r="E17" s="26">
        <f t="shared" si="0"/>
        <v>2460</v>
      </c>
      <c r="F17" s="26">
        <f t="shared" si="1"/>
        <v>2460</v>
      </c>
    </row>
    <row r="18" spans="1:9" ht="33.75" customHeight="1">
      <c r="A18" s="11" t="s">
        <v>11</v>
      </c>
      <c r="B18" s="16">
        <v>2282</v>
      </c>
      <c r="C18" s="13">
        <f>1600+850</f>
        <v>2450</v>
      </c>
      <c r="D18" s="13">
        <v>2433.58</v>
      </c>
      <c r="E18" s="26">
        <f t="shared" si="0"/>
        <v>16.420000000000073</v>
      </c>
      <c r="F18" s="26">
        <f t="shared" si="1"/>
        <v>16.420000000000073</v>
      </c>
    </row>
    <row r="19" spans="1:9" ht="18" hidden="1" customHeight="1">
      <c r="A19" s="11" t="s">
        <v>14</v>
      </c>
      <c r="B19" s="16">
        <v>2730</v>
      </c>
      <c r="C19" s="13"/>
      <c r="D19" s="13"/>
      <c r="E19" s="26">
        <f t="shared" si="0"/>
        <v>0</v>
      </c>
      <c r="F19" s="26">
        <f t="shared" si="1"/>
        <v>0</v>
      </c>
    </row>
    <row r="20" spans="1:9" ht="15.75" customHeight="1">
      <c r="A20" s="11" t="s">
        <v>15</v>
      </c>
      <c r="B20" s="16">
        <v>2800</v>
      </c>
      <c r="C20" s="13">
        <f>6744+3200</f>
        <v>9944</v>
      </c>
      <c r="D20" s="13">
        <v>9881.19</v>
      </c>
      <c r="E20" s="26">
        <f t="shared" si="0"/>
        <v>62.809999999999491</v>
      </c>
      <c r="F20" s="26">
        <f t="shared" si="1"/>
        <v>62.809999999999491</v>
      </c>
    </row>
    <row r="21" spans="1:9" ht="39" customHeight="1">
      <c r="A21" s="11" t="s">
        <v>12</v>
      </c>
      <c r="B21" s="16">
        <v>3110</v>
      </c>
      <c r="C21" s="13">
        <f>14000+65200+52000</f>
        <v>131200</v>
      </c>
      <c r="D21" s="13">
        <f>14000+65147.82+51930.4</f>
        <v>131078.22</v>
      </c>
      <c r="E21" s="26">
        <f t="shared" si="0"/>
        <v>121.77999999999884</v>
      </c>
      <c r="F21" s="26">
        <f t="shared" si="1"/>
        <v>121.77999999999884</v>
      </c>
      <c r="H21" s="38"/>
    </row>
    <row r="22" spans="1:9" ht="37.5" hidden="1">
      <c r="A22" s="11" t="s">
        <v>20</v>
      </c>
      <c r="B22" s="16">
        <v>3122</v>
      </c>
      <c r="C22" s="13"/>
      <c r="D22" s="13"/>
      <c r="E22" s="26">
        <f t="shared" si="0"/>
        <v>0</v>
      </c>
      <c r="F22" s="26">
        <f t="shared" si="1"/>
        <v>0</v>
      </c>
      <c r="I22" t="s">
        <v>19</v>
      </c>
    </row>
    <row r="23" spans="1:9" ht="18.75" hidden="1">
      <c r="A23" s="11" t="s">
        <v>21</v>
      </c>
      <c r="B23" s="16">
        <v>3132</v>
      </c>
      <c r="C23" s="13"/>
      <c r="D23" s="13"/>
      <c r="E23" s="26">
        <f t="shared" si="0"/>
        <v>0</v>
      </c>
      <c r="F23" s="26">
        <f t="shared" si="1"/>
        <v>0</v>
      </c>
    </row>
    <row r="24" spans="1:9" ht="37.5" hidden="1">
      <c r="A24" s="32" t="s">
        <v>45</v>
      </c>
      <c r="B24" s="16">
        <v>3142</v>
      </c>
      <c r="C24" s="13"/>
      <c r="D24" s="13"/>
      <c r="E24" s="26">
        <f t="shared" si="0"/>
        <v>0</v>
      </c>
      <c r="F24" s="26">
        <f t="shared" si="1"/>
        <v>0</v>
      </c>
    </row>
    <row r="25" spans="1:9" ht="18.75">
      <c r="A25" s="11" t="s">
        <v>13</v>
      </c>
      <c r="B25" s="16"/>
      <c r="C25" s="14">
        <f>SUM(C7:C24)</f>
        <v>6618025.1799999997</v>
      </c>
      <c r="D25" s="14">
        <f>SUM(D7:D24)</f>
        <v>6427443.3100000005</v>
      </c>
      <c r="E25" s="26">
        <f t="shared" si="0"/>
        <v>190581.86999999918</v>
      </c>
      <c r="F25" s="26">
        <f t="shared" si="1"/>
        <v>190581.86999999918</v>
      </c>
    </row>
    <row r="26" spans="1:9" ht="18.75">
      <c r="A26" s="6"/>
      <c r="B26" s="7"/>
      <c r="C26" s="8"/>
      <c r="D26" s="8"/>
    </row>
    <row r="27" spans="1:9" ht="33.75" hidden="1" customHeight="1">
      <c r="A27" s="61" t="s">
        <v>25</v>
      </c>
      <c r="B27" s="69"/>
      <c r="C27" s="69"/>
      <c r="D27" s="69"/>
    </row>
    <row r="28" spans="1:9" ht="18.75" hidden="1">
      <c r="A28" s="27"/>
      <c r="B28" s="29"/>
      <c r="C28" s="29"/>
      <c r="D28" s="30"/>
    </row>
    <row r="29" spans="1:9" ht="75" hidden="1">
      <c r="A29" s="15" t="s">
        <v>0</v>
      </c>
      <c r="B29" s="15" t="s">
        <v>1</v>
      </c>
      <c r="C29" s="10" t="s">
        <v>23</v>
      </c>
      <c r="D29" s="10" t="s">
        <v>18</v>
      </c>
    </row>
    <row r="30" spans="1:9" ht="37.5" hidden="1">
      <c r="A30" s="11" t="s">
        <v>2</v>
      </c>
      <c r="B30" s="17">
        <v>2210</v>
      </c>
      <c r="C30" s="13"/>
      <c r="D30" s="13"/>
      <c r="F30" s="26"/>
    </row>
    <row r="31" spans="1:9" ht="18.75" hidden="1">
      <c r="A31" s="12" t="s">
        <v>3</v>
      </c>
      <c r="B31" s="17">
        <v>2230</v>
      </c>
      <c r="C31" s="13"/>
      <c r="D31" s="13"/>
      <c r="F31" s="26"/>
    </row>
    <row r="32" spans="1:9" ht="18.75" hidden="1">
      <c r="A32" s="12" t="s">
        <v>4</v>
      </c>
      <c r="B32" s="17">
        <v>2240</v>
      </c>
      <c r="C32" s="13"/>
      <c r="D32" s="13"/>
      <c r="F32" s="26"/>
    </row>
    <row r="33" spans="1:6" ht="18.75" hidden="1">
      <c r="A33" s="40" t="s">
        <v>10</v>
      </c>
      <c r="B33" s="35">
        <v>2275</v>
      </c>
      <c r="C33" s="13"/>
      <c r="D33" s="13"/>
      <c r="F33" s="26"/>
    </row>
    <row r="34" spans="1:6" ht="18.75" hidden="1">
      <c r="A34" s="11" t="s">
        <v>15</v>
      </c>
      <c r="B34" s="17">
        <v>2800</v>
      </c>
      <c r="C34" s="13"/>
      <c r="D34" s="13"/>
      <c r="F34" s="26"/>
    </row>
    <row r="35" spans="1:6" ht="37.5" hidden="1">
      <c r="A35" s="11" t="s">
        <v>12</v>
      </c>
      <c r="B35" s="17">
        <v>3110</v>
      </c>
      <c r="C35" s="13"/>
      <c r="D35" s="13"/>
      <c r="F35" s="26"/>
    </row>
    <row r="36" spans="1:6" ht="18.75" hidden="1">
      <c r="A36" s="18" t="s">
        <v>16</v>
      </c>
      <c r="B36" s="19">
        <v>3132</v>
      </c>
      <c r="C36" s="20"/>
      <c r="D36" s="20"/>
      <c r="F36" s="26"/>
    </row>
    <row r="37" spans="1:6" ht="18.75" hidden="1">
      <c r="A37" s="11" t="s">
        <v>13</v>
      </c>
      <c r="B37" s="17"/>
      <c r="C37" s="14">
        <f>SUM(C30:C36)</f>
        <v>0</v>
      </c>
      <c r="D37" s="14">
        <f>SUM(D30:D36)</f>
        <v>0</v>
      </c>
      <c r="F37" s="26"/>
    </row>
    <row r="38" spans="1:6" ht="18.75">
      <c r="A38" s="43"/>
      <c r="B38" s="44"/>
      <c r="C38" s="45"/>
      <c r="D38" s="45"/>
      <c r="F38" s="26"/>
    </row>
    <row r="39" spans="1:6">
      <c r="A39" s="1"/>
      <c r="B39" s="5"/>
      <c r="C39" s="4"/>
      <c r="D39" s="4"/>
    </row>
    <row r="40" spans="1:6" ht="33.75" customHeight="1">
      <c r="A40" s="56" t="s">
        <v>26</v>
      </c>
      <c r="B40" s="57"/>
      <c r="C40" s="57"/>
      <c r="D40" s="57"/>
    </row>
    <row r="41" spans="1:6">
      <c r="A41" s="1"/>
      <c r="B41" s="5"/>
      <c r="C41" s="4"/>
      <c r="D41" s="4"/>
    </row>
    <row r="42" spans="1:6" ht="75">
      <c r="A42" s="15" t="s">
        <v>0</v>
      </c>
      <c r="B42" s="15" t="s">
        <v>1</v>
      </c>
      <c r="C42" s="10" t="s">
        <v>23</v>
      </c>
      <c r="D42" s="10" t="s">
        <v>18</v>
      </c>
    </row>
    <row r="43" spans="1:6" ht="37.5">
      <c r="A43" s="11" t="s">
        <v>2</v>
      </c>
      <c r="B43" s="17">
        <v>2210</v>
      </c>
      <c r="C43" s="37">
        <f>8631.37+449.97</f>
        <v>9081.34</v>
      </c>
      <c r="D43" s="37">
        <f>8631.37+449.97</f>
        <v>9081.34</v>
      </c>
      <c r="F43" s="26"/>
    </row>
    <row r="44" spans="1:6" ht="18.75">
      <c r="A44" s="12" t="s">
        <v>3</v>
      </c>
      <c r="B44" s="17">
        <v>2230</v>
      </c>
      <c r="C44" s="37">
        <v>104039.18</v>
      </c>
      <c r="D44" s="37">
        <v>104039.18</v>
      </c>
      <c r="F44" s="26"/>
    </row>
    <row r="45" spans="1:6" ht="18.75" hidden="1">
      <c r="A45" s="12" t="s">
        <v>4</v>
      </c>
      <c r="B45" s="17">
        <v>2240</v>
      </c>
      <c r="C45" s="37"/>
      <c r="D45" s="37"/>
      <c r="F45" s="26"/>
    </row>
    <row r="46" spans="1:6" ht="18.75" hidden="1">
      <c r="A46" s="12" t="s">
        <v>10</v>
      </c>
      <c r="B46" s="17">
        <v>2275</v>
      </c>
      <c r="C46" s="37"/>
      <c r="D46" s="37"/>
      <c r="F46" s="26"/>
    </row>
    <row r="47" spans="1:6" ht="18.75" hidden="1">
      <c r="A47" s="11" t="s">
        <v>15</v>
      </c>
      <c r="B47" s="17">
        <v>2800</v>
      </c>
      <c r="C47" s="37"/>
      <c r="D47" s="37"/>
      <c r="F47" s="26"/>
    </row>
    <row r="48" spans="1:6" ht="37.5">
      <c r="A48" s="11" t="s">
        <v>12</v>
      </c>
      <c r="B48" s="17">
        <v>3110</v>
      </c>
      <c r="C48" s="37">
        <v>33694</v>
      </c>
      <c r="D48" s="37">
        <v>33694</v>
      </c>
      <c r="F48" s="26"/>
    </row>
    <row r="49" spans="1:6" ht="18.75" hidden="1">
      <c r="A49" s="18" t="s">
        <v>16</v>
      </c>
      <c r="B49" s="19">
        <v>3132</v>
      </c>
      <c r="C49" s="13"/>
      <c r="D49" s="20"/>
      <c r="F49" s="26"/>
    </row>
    <row r="50" spans="1:6" ht="18.75">
      <c r="A50" s="11" t="s">
        <v>13</v>
      </c>
      <c r="B50" s="17"/>
      <c r="C50" s="14">
        <f>SUM(C43:C48)</f>
        <v>146814.51999999999</v>
      </c>
      <c r="D50" s="14">
        <f>D43+D44+D47+D48+D49+D45</f>
        <v>146814.51999999999</v>
      </c>
      <c r="F50" s="26"/>
    </row>
    <row r="54" spans="1:6" ht="34.5" customHeight="1">
      <c r="A54" s="56" t="s">
        <v>69</v>
      </c>
      <c r="B54" s="57"/>
      <c r="C54" s="57"/>
      <c r="D54" s="57"/>
    </row>
    <row r="56" spans="1:6" ht="18.75">
      <c r="A56" s="58" t="s">
        <v>27</v>
      </c>
      <c r="B56" s="59"/>
      <c r="C56" s="60" t="s">
        <v>28</v>
      </c>
      <c r="D56" s="59"/>
    </row>
    <row r="57" spans="1:6" ht="18.75">
      <c r="A57" s="40" t="s">
        <v>39</v>
      </c>
      <c r="B57" s="35">
        <v>2210</v>
      </c>
      <c r="C57" s="72">
        <f>2249.92+700+2632+616+616</f>
        <v>6813.92</v>
      </c>
      <c r="D57" s="72"/>
    </row>
    <row r="58" spans="1:6" ht="17.25" hidden="1" customHeight="1">
      <c r="A58" s="40" t="s">
        <v>33</v>
      </c>
      <c r="B58" s="35">
        <v>2210</v>
      </c>
      <c r="C58" s="78"/>
      <c r="D58" s="79"/>
    </row>
    <row r="59" spans="1:6" ht="18.75" hidden="1">
      <c r="A59" s="40" t="s">
        <v>36</v>
      </c>
      <c r="B59" s="35">
        <v>2210</v>
      </c>
      <c r="C59" s="78"/>
      <c r="D59" s="79"/>
    </row>
    <row r="60" spans="1:6" ht="18.75" hidden="1">
      <c r="A60" s="40" t="s">
        <v>41</v>
      </c>
      <c r="B60" s="36">
        <v>3110.221</v>
      </c>
      <c r="C60" s="78"/>
      <c r="D60" s="79"/>
    </row>
    <row r="61" spans="1:6" ht="18.75" hidden="1">
      <c r="A61" s="40" t="s">
        <v>32</v>
      </c>
      <c r="B61" s="35">
        <v>2210</v>
      </c>
      <c r="C61" s="78"/>
      <c r="D61" s="79"/>
    </row>
    <row r="62" spans="1:6" ht="18.75" hidden="1">
      <c r="A62" s="40" t="s">
        <v>34</v>
      </c>
      <c r="B62" s="35">
        <v>2210</v>
      </c>
      <c r="C62" s="78"/>
      <c r="D62" s="79"/>
    </row>
    <row r="63" spans="1:6" ht="18.75" hidden="1">
      <c r="A63" s="40" t="s">
        <v>40</v>
      </c>
      <c r="B63" s="35">
        <v>2210</v>
      </c>
      <c r="C63" s="78"/>
      <c r="D63" s="79"/>
    </row>
    <row r="64" spans="1:6" ht="18.75">
      <c r="A64" s="40" t="s">
        <v>35</v>
      </c>
      <c r="B64" s="35">
        <v>3110</v>
      </c>
      <c r="C64" s="65">
        <v>33694</v>
      </c>
      <c r="D64" s="66"/>
    </row>
    <row r="65" spans="1:4" ht="18.75" hidden="1">
      <c r="A65" s="40" t="s">
        <v>37</v>
      </c>
      <c r="B65" s="35">
        <v>2210</v>
      </c>
      <c r="C65" s="78"/>
      <c r="D65" s="79"/>
    </row>
    <row r="66" spans="1:4" ht="18.75" hidden="1">
      <c r="A66" s="40" t="s">
        <v>38</v>
      </c>
      <c r="B66" s="35">
        <v>2210</v>
      </c>
      <c r="C66" s="78"/>
      <c r="D66" s="79"/>
    </row>
    <row r="67" spans="1:4" ht="18.75" hidden="1">
      <c r="A67" s="40" t="s">
        <v>50</v>
      </c>
      <c r="B67" s="35">
        <v>2240</v>
      </c>
      <c r="C67" s="78"/>
      <c r="D67" s="79"/>
    </row>
    <row r="68" spans="1:4" ht="18.75">
      <c r="A68" s="40" t="s">
        <v>42</v>
      </c>
      <c r="B68" s="35">
        <v>2230</v>
      </c>
      <c r="C68" s="65">
        <v>104039.18</v>
      </c>
      <c r="D68" s="66"/>
    </row>
    <row r="69" spans="1:4" ht="18.75" hidden="1">
      <c r="A69" s="40" t="s">
        <v>43</v>
      </c>
      <c r="B69" s="35">
        <v>2210</v>
      </c>
      <c r="C69" s="78"/>
      <c r="D69" s="79"/>
    </row>
    <row r="70" spans="1:4" ht="18.75">
      <c r="A70" s="40" t="s">
        <v>49</v>
      </c>
      <c r="B70" s="35">
        <v>2210</v>
      </c>
      <c r="C70" s="65">
        <f>491.85+1325.6</f>
        <v>1817.4499999999998</v>
      </c>
      <c r="D70" s="66"/>
    </row>
    <row r="71" spans="1:4" ht="18.75" hidden="1">
      <c r="A71" s="40" t="s">
        <v>47</v>
      </c>
      <c r="B71" s="35">
        <v>2210</v>
      </c>
      <c r="C71" s="65"/>
      <c r="D71" s="66"/>
    </row>
    <row r="72" spans="1:4" ht="18.75" hidden="1">
      <c r="A72" s="40" t="s">
        <v>46</v>
      </c>
      <c r="B72" s="35">
        <v>2210</v>
      </c>
      <c r="C72" s="65"/>
      <c r="D72" s="66"/>
    </row>
    <row r="73" spans="1:4" ht="18.75" hidden="1">
      <c r="A73" s="40" t="s">
        <v>48</v>
      </c>
      <c r="B73" s="41">
        <v>2210</v>
      </c>
      <c r="C73" s="65"/>
      <c r="D73" s="66"/>
    </row>
    <row r="74" spans="1:4" ht="18.75">
      <c r="A74" s="63"/>
      <c r="B74" s="64"/>
      <c r="C74" s="65"/>
      <c r="D74" s="66"/>
    </row>
    <row r="75" spans="1:4" ht="18.75">
      <c r="A75" s="63"/>
      <c r="B75" s="64"/>
      <c r="C75" s="73">
        <f>SUM(C57:D74)</f>
        <v>146364.54999999999</v>
      </c>
      <c r="D75" s="74"/>
    </row>
    <row r="77" spans="1:4" ht="38.25" customHeight="1">
      <c r="A77" s="56" t="s">
        <v>64</v>
      </c>
      <c r="B77" s="57"/>
      <c r="C77" s="57"/>
      <c r="D77" s="57"/>
    </row>
  </sheetData>
  <mergeCells count="30">
    <mergeCell ref="A74:B74"/>
    <mergeCell ref="C74:D74"/>
    <mergeCell ref="A75:B75"/>
    <mergeCell ref="C75:D75"/>
    <mergeCell ref="C69:D69"/>
    <mergeCell ref="C70:D70"/>
    <mergeCell ref="C71:D71"/>
    <mergeCell ref="C72:D72"/>
    <mergeCell ref="C73:D73"/>
    <mergeCell ref="C64:D64"/>
    <mergeCell ref="C65:D65"/>
    <mergeCell ref="C66:D66"/>
    <mergeCell ref="C67:D67"/>
    <mergeCell ref="C68:D68"/>
    <mergeCell ref="A77:D77"/>
    <mergeCell ref="C58:D58"/>
    <mergeCell ref="A3:D3"/>
    <mergeCell ref="A2:D2"/>
    <mergeCell ref="A5:D5"/>
    <mergeCell ref="A27:D27"/>
    <mergeCell ref="A40:D40"/>
    <mergeCell ref="C57:D57"/>
    <mergeCell ref="A54:D54"/>
    <mergeCell ref="A56:B56"/>
    <mergeCell ref="C56:D56"/>
    <mergeCell ref="C59:D59"/>
    <mergeCell ref="C60:D60"/>
    <mergeCell ref="C61:D61"/>
    <mergeCell ref="C62:D62"/>
    <mergeCell ref="C63:D6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Добронадіївська ЗШ І-ІІІ ст</vt:lpstr>
      <vt:lpstr>Новоселівський НВК</vt:lpstr>
      <vt:lpstr>Куколівський НВК</vt:lpstr>
      <vt:lpstr>Косівське НВО</vt:lpstr>
      <vt:lpstr>Лікарівський НВК</vt:lpstr>
      <vt:lpstr>Недогарський НВК </vt:lpstr>
      <vt:lpstr>Олександрівська ЗШ І-ІІІ ст</vt:lpstr>
      <vt:lpstr>Ульянівська ЗШ І-ІІІ ст</vt:lpstr>
      <vt:lpstr>Червонокамянське НВО</vt:lpstr>
      <vt:lpstr>Андріївська ЗШ І-ІІ ст</vt:lpstr>
      <vt:lpstr>Щасливська ЗШ І-ІІ ст</vt:lpstr>
      <vt:lpstr>Ясинуватська ЗШ І-ІІ ст</vt:lpstr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2020-01-14T09:26:18Z</cp:lastPrinted>
  <dcterms:created xsi:type="dcterms:W3CDTF">2017-11-02T06:22:39Z</dcterms:created>
  <dcterms:modified xsi:type="dcterms:W3CDTF">2020-01-14T09:27:04Z</dcterms:modified>
</cp:coreProperties>
</file>