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0" windowWidth="14625" windowHeight="8310"/>
  </bookViews>
  <sheets>
    <sheet name="Бутівський НВК" sheetId="1" r:id="rId1"/>
    <sheet name="Войнівська ЗШ І-ІІІ ст" sheetId="2" r:id="rId2"/>
    <sheet name="Головківський НВК" sheetId="27" r:id="rId3"/>
    <sheet name="Ізмайлівська ЗШ І-ІІІ ст" sheetId="29" r:id="rId4"/>
    <sheet name="Користівська ЗШ ІІІІ ст" sheetId="32" r:id="rId5"/>
    <sheet name="Протопопівська ЗШ І-ІІІ ст" sheetId="41" r:id="rId6"/>
    <sheet name="Цукрозаводський НВК " sheetId="43" r:id="rId7"/>
    <sheet name="Лист1" sheetId="51" r:id="rId8"/>
  </sheets>
  <calcPr calcId="125725"/>
</workbook>
</file>

<file path=xl/calcChain.xml><?xml version="1.0" encoding="utf-8"?>
<calcChain xmlns="http://schemas.openxmlformats.org/spreadsheetml/2006/main">
  <c r="C21" i="43"/>
  <c r="C21" i="41"/>
  <c r="C21" i="32"/>
  <c r="C21" i="29"/>
  <c r="C21" i="27"/>
  <c r="C21" i="2"/>
  <c r="C21" i="1"/>
  <c r="D21" i="2"/>
  <c r="D21" i="32" l="1"/>
  <c r="C8" i="27" l="1"/>
  <c r="C11" i="43" l="1"/>
  <c r="C20" i="41"/>
  <c r="C20" i="27"/>
  <c r="C20" i="32"/>
  <c r="C20" i="29"/>
  <c r="C20" i="2"/>
  <c r="C20" i="1"/>
  <c r="C18"/>
  <c r="C17" i="29"/>
  <c r="C17" i="2"/>
  <c r="C17" i="27"/>
  <c r="C16" i="32"/>
  <c r="C16" i="41"/>
  <c r="C16" i="1"/>
  <c r="C15" i="43"/>
  <c r="C15" i="27"/>
  <c r="C15" i="32"/>
  <c r="C15" i="41"/>
  <c r="C15" i="29"/>
  <c r="C15" i="2"/>
  <c r="C15" i="1"/>
  <c r="C14" i="2"/>
  <c r="C14" i="1"/>
  <c r="C14" i="43"/>
  <c r="C14" i="32"/>
  <c r="C11" i="41"/>
  <c r="C11" i="32"/>
  <c r="C11" i="29"/>
  <c r="C11" i="2"/>
  <c r="C11" i="1"/>
  <c r="C11" i="27"/>
  <c r="C10" i="43"/>
  <c r="C10" i="27"/>
  <c r="C10" i="41"/>
  <c r="C10" i="32"/>
  <c r="C10" i="29"/>
  <c r="C10" i="2"/>
  <c r="C10" i="1"/>
  <c r="C9" i="43"/>
  <c r="C9" i="41"/>
  <c r="C9" i="32"/>
  <c r="F9" s="1"/>
  <c r="C9" i="27"/>
  <c r="C9" i="1"/>
  <c r="C9" i="29"/>
  <c r="F9" i="41"/>
  <c r="C9" i="2"/>
  <c r="C8" i="41"/>
  <c r="C8" i="29"/>
  <c r="C8" i="43"/>
  <c r="C8" i="32"/>
  <c r="C8" i="2"/>
  <c r="C8" i="1"/>
  <c r="F8" i="43"/>
  <c r="F9"/>
  <c r="F10"/>
  <c r="F11"/>
  <c r="F12"/>
  <c r="F13"/>
  <c r="F14"/>
  <c r="F15"/>
  <c r="F16"/>
  <c r="F17"/>
  <c r="F18"/>
  <c r="F19"/>
  <c r="F20"/>
  <c r="F21"/>
  <c r="F22"/>
  <c r="F23"/>
  <c r="F24"/>
  <c r="F7"/>
  <c r="C7"/>
  <c r="C7" i="41"/>
  <c r="F8"/>
  <c r="F10"/>
  <c r="F11"/>
  <c r="F12"/>
  <c r="F13"/>
  <c r="F14"/>
  <c r="F15"/>
  <c r="F16"/>
  <c r="F17"/>
  <c r="F18"/>
  <c r="F19"/>
  <c r="F20"/>
  <c r="F21"/>
  <c r="F22"/>
  <c r="F23"/>
  <c r="F24"/>
  <c r="F7"/>
  <c r="C7" i="32"/>
  <c r="F8"/>
  <c r="F10"/>
  <c r="F11"/>
  <c r="F12"/>
  <c r="F13"/>
  <c r="F14"/>
  <c r="F15"/>
  <c r="F16"/>
  <c r="F17"/>
  <c r="F18"/>
  <c r="F19"/>
  <c r="F20"/>
  <c r="F21"/>
  <c r="F22"/>
  <c r="F23"/>
  <c r="F24"/>
  <c r="F7"/>
  <c r="F8" i="29"/>
  <c r="F9"/>
  <c r="F10"/>
  <c r="F11"/>
  <c r="F12"/>
  <c r="F13"/>
  <c r="F14"/>
  <c r="F15"/>
  <c r="F16"/>
  <c r="F17"/>
  <c r="F18"/>
  <c r="F19"/>
  <c r="F20"/>
  <c r="F21"/>
  <c r="F22"/>
  <c r="F23"/>
  <c r="F24"/>
  <c r="F7"/>
  <c r="C7"/>
  <c r="C7" i="27"/>
  <c r="F8"/>
  <c r="F9"/>
  <c r="F10"/>
  <c r="F11"/>
  <c r="F12"/>
  <c r="F13"/>
  <c r="F14"/>
  <c r="F15"/>
  <c r="F16"/>
  <c r="F17"/>
  <c r="F18"/>
  <c r="F19"/>
  <c r="F20"/>
  <c r="F21"/>
  <c r="F22"/>
  <c r="F23"/>
  <c r="F24"/>
  <c r="F7"/>
  <c r="C7" i="2"/>
  <c r="F8"/>
  <c r="F9"/>
  <c r="F10"/>
  <c r="F11"/>
  <c r="F12"/>
  <c r="F13"/>
  <c r="F14"/>
  <c r="F15"/>
  <c r="F16"/>
  <c r="F17"/>
  <c r="F18"/>
  <c r="F19"/>
  <c r="F20"/>
  <c r="F21"/>
  <c r="F22"/>
  <c r="F23"/>
  <c r="F24"/>
  <c r="F7"/>
  <c r="C7" i="1"/>
  <c r="F8"/>
  <c r="F9"/>
  <c r="F10"/>
  <c r="F11"/>
  <c r="F12"/>
  <c r="F13"/>
  <c r="F14"/>
  <c r="F15"/>
  <c r="F16"/>
  <c r="F17"/>
  <c r="F18"/>
  <c r="F19"/>
  <c r="F20"/>
  <c r="F21"/>
  <c r="F22"/>
  <c r="F23"/>
  <c r="F24"/>
  <c r="F7"/>
  <c r="C44" i="41"/>
  <c r="C65" i="43"/>
  <c r="C71"/>
  <c r="C66"/>
  <c r="C58"/>
  <c r="C64" i="41"/>
  <c r="C70"/>
  <c r="D44"/>
  <c r="C71" i="32"/>
  <c r="C65"/>
  <c r="C58"/>
  <c r="C65" i="29"/>
  <c r="C71"/>
  <c r="C58"/>
  <c r="C64" i="27"/>
  <c r="C70"/>
  <c r="C57"/>
  <c r="C70" i="2"/>
  <c r="C64"/>
  <c r="C57"/>
  <c r="D21" i="43"/>
  <c r="D9"/>
  <c r="D8"/>
  <c r="D7"/>
  <c r="D21" i="41"/>
  <c r="D9"/>
  <c r="D8"/>
  <c r="D7"/>
  <c r="D9" i="32"/>
  <c r="D8"/>
  <c r="D7"/>
  <c r="D21" i="29"/>
  <c r="D9"/>
  <c r="D8"/>
  <c r="D7"/>
  <c r="D21" i="27"/>
  <c r="D17"/>
  <c r="D15"/>
  <c r="D11"/>
  <c r="D10"/>
  <c r="D9"/>
  <c r="D8"/>
  <c r="D7"/>
  <c r="D9" i="2"/>
  <c r="D8"/>
  <c r="D7"/>
  <c r="D21" i="1"/>
  <c r="D10"/>
  <c r="D9"/>
  <c r="D8"/>
  <c r="D7"/>
  <c r="C64" i="43"/>
  <c r="D48" i="51" l="1"/>
  <c r="D44"/>
  <c r="E8" i="43"/>
  <c r="E9"/>
  <c r="E10"/>
  <c r="E11"/>
  <c r="E12"/>
  <c r="E13"/>
  <c r="E14"/>
  <c r="E15"/>
  <c r="E16"/>
  <c r="E17"/>
  <c r="E18"/>
  <c r="E19"/>
  <c r="E20"/>
  <c r="E21"/>
  <c r="E22"/>
  <c r="E23"/>
  <c r="E24"/>
  <c r="E7"/>
  <c r="E8" i="41"/>
  <c r="E9"/>
  <c r="E10"/>
  <c r="E11"/>
  <c r="E12"/>
  <c r="E13"/>
  <c r="E14"/>
  <c r="E15"/>
  <c r="E16"/>
  <c r="E17"/>
  <c r="E18"/>
  <c r="E19"/>
  <c r="E20"/>
  <c r="E21"/>
  <c r="E22"/>
  <c r="E23"/>
  <c r="E24"/>
  <c r="E7"/>
  <c r="E8" i="32"/>
  <c r="E9"/>
  <c r="E10"/>
  <c r="E11"/>
  <c r="E12"/>
  <c r="E13"/>
  <c r="E14"/>
  <c r="E15"/>
  <c r="E16"/>
  <c r="E17"/>
  <c r="E18"/>
  <c r="E19"/>
  <c r="E20"/>
  <c r="E21"/>
  <c r="E22"/>
  <c r="E23"/>
  <c r="E24"/>
  <c r="E7"/>
  <c r="E8" i="29"/>
  <c r="E9"/>
  <c r="E10"/>
  <c r="E11"/>
  <c r="E12"/>
  <c r="E13"/>
  <c r="E14"/>
  <c r="E15"/>
  <c r="E16"/>
  <c r="E17"/>
  <c r="E18"/>
  <c r="E19"/>
  <c r="E20"/>
  <c r="E21"/>
  <c r="E22"/>
  <c r="E23"/>
  <c r="E24"/>
  <c r="E7"/>
  <c r="E8" i="27"/>
  <c r="E9"/>
  <c r="E10"/>
  <c r="E11"/>
  <c r="E12"/>
  <c r="E13"/>
  <c r="E14"/>
  <c r="E15"/>
  <c r="E16"/>
  <c r="E17"/>
  <c r="E18"/>
  <c r="E19"/>
  <c r="E20"/>
  <c r="E21"/>
  <c r="E22"/>
  <c r="E23"/>
  <c r="E24"/>
  <c r="E7"/>
  <c r="E8" i="2"/>
  <c r="E9"/>
  <c r="E10"/>
  <c r="E11"/>
  <c r="E12"/>
  <c r="E13"/>
  <c r="E14"/>
  <c r="E15"/>
  <c r="E16"/>
  <c r="E17"/>
  <c r="E18"/>
  <c r="E19"/>
  <c r="E20"/>
  <c r="E21"/>
  <c r="E22"/>
  <c r="E23"/>
  <c r="E24"/>
  <c r="E7"/>
  <c r="E8" i="1"/>
  <c r="E9"/>
  <c r="E10"/>
  <c r="E11"/>
  <c r="E12"/>
  <c r="E13"/>
  <c r="E14"/>
  <c r="E15"/>
  <c r="E16"/>
  <c r="E17"/>
  <c r="E18"/>
  <c r="E19"/>
  <c r="E20"/>
  <c r="E21"/>
  <c r="E22"/>
  <c r="E23"/>
  <c r="E24"/>
  <c r="E7"/>
  <c r="C75" i="41" l="1"/>
  <c r="C76" i="29"/>
  <c r="C75" i="27"/>
  <c r="C75" i="2"/>
  <c r="C77" i="1"/>
  <c r="C76" i="32"/>
  <c r="C76" i="43" l="1"/>
  <c r="D25"/>
  <c r="D25" i="41"/>
  <c r="D25" i="32"/>
  <c r="D25" i="29"/>
  <c r="D25" i="27"/>
  <c r="C25" i="2"/>
  <c r="D25"/>
  <c r="D25" i="1"/>
  <c r="D51" i="29"/>
  <c r="C51"/>
  <c r="D38"/>
  <c r="C38"/>
  <c r="F25" i="2" l="1"/>
  <c r="E25"/>
  <c r="C51" i="43"/>
  <c r="D51"/>
  <c r="D38"/>
  <c r="C38"/>
  <c r="C51" i="41"/>
  <c r="D51"/>
  <c r="D39"/>
  <c r="C39"/>
  <c r="C50" i="32"/>
  <c r="D50"/>
  <c r="D37"/>
  <c r="C37"/>
  <c r="C51" i="27"/>
  <c r="D51"/>
  <c r="C38"/>
  <c r="D38"/>
  <c r="C51" i="2"/>
  <c r="D51"/>
  <c r="D38"/>
  <c r="C38"/>
  <c r="C50" i="1"/>
  <c r="C37"/>
  <c r="D37" l="1"/>
  <c r="D50"/>
  <c r="C25" i="27" l="1"/>
  <c r="F25" s="1"/>
  <c r="E25" l="1"/>
  <c r="C25" i="1"/>
  <c r="F25" s="1"/>
  <c r="C25" i="43"/>
  <c r="F25" s="1"/>
  <c r="C25" i="41"/>
  <c r="F25" s="1"/>
  <c r="C25" i="32"/>
  <c r="F25" s="1"/>
  <c r="C25" i="29"/>
  <c r="F25" s="1"/>
  <c r="E25" i="43" l="1"/>
  <c r="E25" i="41"/>
  <c r="E25" i="32"/>
  <c r="E25" i="29"/>
  <c r="E25" i="1"/>
</calcChain>
</file>

<file path=xl/sharedStrings.xml><?xml version="1.0" encoding="utf-8"?>
<sst xmlns="http://schemas.openxmlformats.org/spreadsheetml/2006/main" count="512" uniqueCount="62">
  <si>
    <t>Показники</t>
  </si>
  <si>
    <t>КЕКВ</t>
  </si>
  <si>
    <t>Предмети,матеріали,обладнання та інвентар</t>
  </si>
  <si>
    <t>Продукти харчування</t>
  </si>
  <si>
    <t>Оплата послуг(крім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</si>
  <si>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</si>
  <si>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</si>
  <si>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</si>
  <si>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енергії</t>
  </si>
  <si>
    <t>Оплата природного газу</t>
  </si>
  <si>
    <t>Оплата інших енергоносіїв</t>
  </si>
  <si>
    <t>Окремі заходи по реалізації (регіональних ) програм, не віднесені до заходів розвитку</t>
  </si>
  <si>
    <t>Придбання обладнання і предметів довгострокового користування</t>
  </si>
  <si>
    <t>Разом</t>
  </si>
  <si>
    <t>Інші виплати населенню</t>
  </si>
  <si>
    <t>Інші поточні видатки</t>
  </si>
  <si>
    <t xml:space="preserve">Капітальний ремонт </t>
  </si>
  <si>
    <t>Касові видатка на звітний період</t>
  </si>
  <si>
    <t>Касові видатки на звітний період</t>
  </si>
  <si>
    <t xml:space="preserve"> </t>
  </si>
  <si>
    <t>Капітальне будівництво ( придбання ) інших об´єктів</t>
  </si>
  <si>
    <t>Капітальний ремонт інших об´єктів</t>
  </si>
  <si>
    <t>Заробітна плата</t>
  </si>
  <si>
    <t>Затверджено на рік</t>
  </si>
  <si>
    <t>Звіт про використання коштів загального фонду, та інших надходжень спеціального фонду</t>
  </si>
  <si>
    <t xml:space="preserve">Звіт про використання коштів отриманих як плата за послуги </t>
  </si>
  <si>
    <t>Звіт про використання коштів отриманих за іншими джерелами власних надходжень</t>
  </si>
  <si>
    <t>Назва товару,роботи та послуг</t>
  </si>
  <si>
    <t>вартість, грн</t>
  </si>
  <si>
    <t>Господарчі товари</t>
  </si>
  <si>
    <t>Бензин</t>
  </si>
  <si>
    <t>Шкільні меблі</t>
  </si>
  <si>
    <t>Наочні посібники</t>
  </si>
  <si>
    <t>Будівельні матеріали</t>
  </si>
  <si>
    <t>Шкільне обладнання</t>
  </si>
  <si>
    <t>Електрообладнання</t>
  </si>
  <si>
    <t>Диз. Пальне</t>
  </si>
  <si>
    <t>Меблі</t>
  </si>
  <si>
    <t>Комп'ютерне обладнання</t>
  </si>
  <si>
    <t>Послуга харчування</t>
  </si>
  <si>
    <t>Новорічні подарунки</t>
  </si>
  <si>
    <t>Нарахування на оплату праці</t>
  </si>
  <si>
    <t>Реконструкція та реставрація інших об´єктів</t>
  </si>
  <si>
    <t>Спортивне обладнання</t>
  </si>
  <si>
    <t>Кухонне обладнання</t>
  </si>
  <si>
    <t>Медичне обладнання</t>
  </si>
  <si>
    <t>Інше</t>
  </si>
  <si>
    <t>Ремонт</t>
  </si>
  <si>
    <t>Інше(штамп,с-ма очищ.води)</t>
  </si>
  <si>
    <t>Інформація про перелік товарів,робіт і послуг отриманих як благодійна допомога станом на 01.03. 2019 року</t>
  </si>
  <si>
    <t>Сума коштів, отриманих з інших джерел, не заборонених чинним законодавством: 1354,70</t>
  </si>
  <si>
    <t>Бутівський заклад загальної середньої освіти І-ІІ ступенів - заклад дошкільної освіти Приютівської селищної ради Олександрійського району Кіровоградської області</t>
  </si>
  <si>
    <t>Войнівський заклад загальної середньої освіти І-ІІІ ступенів  Приютівської селищної ради Олександрійського району Кіровоградської області</t>
  </si>
  <si>
    <t>Головківський заклад загальної середньої освіти І-ІІІ ступенів - заклад дошкільної освіти Приютівської селищної ради Олександрійського району Кіровоградської області</t>
  </si>
  <si>
    <t>Ізмайлівський заклад загальної середньої освіти І-ІІІ ступенів  Приютівської селищної ради Олександрійського району Кіровоградської області</t>
  </si>
  <si>
    <t>Користівський ліцей Приютівської селищної ради Олександрійського району Кіровоградської області</t>
  </si>
  <si>
    <t>Протопопівський заклад загальної середньої освіти І-ІІІ ступенів  Приютівської селищної ради Олександрійського району Кіровоградської області</t>
  </si>
  <si>
    <t>Цукрозаводський заклад загальної середньої освіти І-ІІІ ступенів - заклад позашкільної освіти Приютівської селищної ради Олександрійського району Кіровоградської області</t>
  </si>
  <si>
    <t xml:space="preserve">Кошторис та фінансовий звіт  про надходження та використання   коштів стоном на 01.10.2019 року  </t>
  </si>
  <si>
    <t>Інформація про перелік товарів,робіт і послуг отриманих як благодійна допомога станом на 01.10. 2019 року</t>
  </si>
  <si>
    <t xml:space="preserve">Кошторис та фінансовий звіт  про надходження та використання   коштів стоном на 01.01.2020 року  </t>
  </si>
  <si>
    <t>Інформація про перелік товарів,робіт і послуг отриманих як благодійна допомога станом на 01.01. 2020 року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</si>
</sst>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" fontId="0" fillId="0" borderId="0" xfId="0" applyNumberFormat="1"/>
    <xf numFmtId="0" fontId="0" fillId="2" borderId="0" xfId="0" applyFill="1"/>
    <xf numFmtId="0" fontId="2" fillId="0" borderId="0" xfId="0" applyFont="1"/>
    <xf numFmtId="2" fontId="3" fillId="0" borderId="0" xfId="0" applyNumberFormat="1" applyFont="1"/>
    <xf numFmtId="0" fontId="4" fillId="0" borderId="0" xfId="0" applyFont="1"/>
    <xf numFmtId="0" fontId="3" fillId="0" borderId="0" xfId="0" applyFont="1"/>
    <xf numFmtId="0" fontId="0" fillId="0" borderId="0" xfId="0" applyFont="1"/>
    <xf numFmtId="0" fontId="7" fillId="0" borderId="0" xfId="0" applyFont="1"/>
    <xf numFmtId="2" fontId="4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/>
    <xf numFmtId="2" fontId="6" fillId="0" borderId="0" xfId="0" applyNumberFormat="1" applyFont="1"/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2" fontId="6" fillId="0" borderId="1" xfId="0" applyNumberFormat="1" applyFont="1" applyBorder="1"/>
    <xf numFmtId="2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/>
    <xf numFmtId="2" fontId="6" fillId="2" borderId="1" xfId="0" applyNumberFormat="1" applyFont="1" applyFill="1" applyBorder="1"/>
    <xf numFmtId="0" fontId="5" fillId="0" borderId="1" xfId="0" applyFont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16" fontId="0" fillId="0" borderId="0" xfId="0" applyNumberFormat="1"/>
    <xf numFmtId="0" fontId="5" fillId="0" borderId="1" xfId="0" applyFont="1" applyBorder="1" applyAlignment="1">
      <alignment wrapText="1"/>
    </xf>
    <xf numFmtId="0" fontId="10" fillId="0" borderId="1" xfId="0" applyFont="1" applyBorder="1" applyAlignment="1"/>
    <xf numFmtId="0" fontId="11" fillId="0" borderId="1" xfId="0" applyNumberFormat="1" applyFont="1" applyBorder="1" applyAlignment="1">
      <alignment horizontal="left"/>
    </xf>
    <xf numFmtId="0" fontId="0" fillId="2" borderId="0" xfId="0" applyFill="1" applyBorder="1"/>
    <xf numFmtId="2" fontId="10" fillId="0" borderId="1" xfId="0" applyNumberFormat="1" applyFont="1" applyBorder="1"/>
    <xf numFmtId="2" fontId="6" fillId="0" borderId="0" xfId="0" applyNumberFormat="1" applyFont="1" applyBorder="1"/>
    <xf numFmtId="0" fontId="5" fillId="0" borderId="1" xfId="0" applyFont="1" applyBorder="1" applyAlignment="1">
      <alignment wrapText="1"/>
    </xf>
    <xf numFmtId="0" fontId="6" fillId="0" borderId="1" xfId="0" applyFont="1" applyBorder="1" applyAlignment="1"/>
    <xf numFmtId="0" fontId="12" fillId="0" borderId="1" xfId="0" applyFont="1" applyBorder="1" applyAlignment="1"/>
    <xf numFmtId="0" fontId="5" fillId="0" borderId="0" xfId="0" applyFont="1" applyBorder="1" applyAlignment="1">
      <alignment wrapText="1"/>
    </xf>
    <xf numFmtId="0" fontId="6" fillId="0" borderId="0" xfId="0" applyFont="1" applyBorder="1"/>
    <xf numFmtId="2" fontId="5" fillId="0" borderId="0" xfId="0" applyNumberFormat="1" applyFont="1" applyBorder="1"/>
    <xf numFmtId="0" fontId="6" fillId="0" borderId="1" xfId="0" applyFont="1" applyBorder="1" applyAlignment="1">
      <alignment horizontal="right"/>
    </xf>
    <xf numFmtId="2" fontId="5" fillId="2" borderId="1" xfId="0" applyNumberFormat="1" applyFont="1" applyFill="1" applyBorder="1"/>
    <xf numFmtId="2" fontId="10" fillId="0" borderId="0" xfId="0" applyNumberFormat="1" applyFont="1" applyAlignment="1">
      <alignment horizontal="right"/>
    </xf>
    <xf numFmtId="2" fontId="13" fillId="2" borderId="1" xfId="0" applyNumberFormat="1" applyFont="1" applyFill="1" applyBorder="1"/>
    <xf numFmtId="0" fontId="8" fillId="0" borderId="0" xfId="0" applyFont="1"/>
    <xf numFmtId="2" fontId="14" fillId="0" borderId="1" xfId="0" applyNumberFormat="1" applyFont="1" applyBorder="1"/>
    <xf numFmtId="2" fontId="12" fillId="0" borderId="1" xfId="0" applyNumberFormat="1" applyFont="1" applyBorder="1"/>
    <xf numFmtId="2" fontId="6" fillId="0" borderId="1" xfId="0" applyNumberFormat="1" applyFont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6" fillId="0" borderId="4" xfId="0" applyFont="1" applyBorder="1" applyAlignment="1"/>
    <xf numFmtId="2" fontId="10" fillId="0" borderId="3" xfId="0" applyNumberFormat="1" applyFont="1" applyBorder="1" applyAlignment="1"/>
    <xf numFmtId="2" fontId="10" fillId="0" borderId="4" xfId="0" applyNumberFormat="1" applyFont="1" applyBorder="1" applyAlignment="1"/>
    <xf numFmtId="2" fontId="14" fillId="0" borderId="3" xfId="0" applyNumberFormat="1" applyFont="1" applyBorder="1" applyAlignment="1"/>
    <xf numFmtId="2" fontId="14" fillId="0" borderId="4" xfId="0" applyNumberFormat="1" applyFont="1" applyBorder="1" applyAlignment="1"/>
    <xf numFmtId="2" fontId="5" fillId="0" borderId="3" xfId="0" applyNumberFormat="1" applyFont="1" applyBorder="1" applyAlignment="1"/>
    <xf numFmtId="2" fontId="5" fillId="0" borderId="4" xfId="0" applyNumberFormat="1" applyFont="1" applyBorder="1" applyAlignment="1"/>
    <xf numFmtId="2" fontId="6" fillId="0" borderId="3" xfId="0" applyNumberFormat="1" applyFont="1" applyBorder="1" applyAlignment="1"/>
    <xf numFmtId="2" fontId="6" fillId="0" borderId="4" xfId="0" applyNumberFormat="1" applyFont="1" applyBorder="1" applyAlignment="1"/>
    <xf numFmtId="0" fontId="8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2" fontId="10" fillId="0" borderId="1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7"/>
  <sheetViews>
    <sheetView tabSelected="1" workbookViewId="0">
      <selection activeCell="A2" sqref="A2:D2"/>
    </sheetView>
  </sheetViews>
  <sheetFormatPr defaultRowHeight="15"/>
  <cols>
    <col min="1" max="1" width="47.875" style="1" customWidth="1"/>
    <col min="2" max="2" width="8.125" style="10" customWidth="1"/>
    <col min="3" max="3" width="17.5" style="4" customWidth="1"/>
    <col min="4" max="4" width="16.5" style="4" customWidth="1"/>
    <col min="5" max="5" width="9.875" hidden="1" customWidth="1"/>
    <col min="6" max="6" width="11" hidden="1" customWidth="1"/>
  </cols>
  <sheetData>
    <row r="2" spans="1:9" ht="67.5" customHeight="1">
      <c r="A2" s="56" t="s">
        <v>60</v>
      </c>
      <c r="B2" s="57"/>
      <c r="C2" s="57"/>
      <c r="D2" s="57"/>
      <c r="I2" s="8"/>
    </row>
    <row r="3" spans="1:9" ht="68.25" customHeight="1">
      <c r="A3" s="73" t="s">
        <v>51</v>
      </c>
      <c r="B3" s="74"/>
      <c r="C3" s="74"/>
      <c r="D3" s="74"/>
    </row>
    <row r="4" spans="1:9" hidden="1">
      <c r="A4" s="6"/>
      <c r="B4" s="9"/>
      <c r="C4" s="7"/>
      <c r="D4" s="7"/>
    </row>
    <row r="5" spans="1:9" ht="47.25" customHeight="1">
      <c r="A5" s="75" t="s">
        <v>24</v>
      </c>
      <c r="B5" s="76"/>
      <c r="C5" s="76"/>
      <c r="D5" s="76"/>
    </row>
    <row r="6" spans="1:9" ht="70.5" customHeight="1">
      <c r="A6" s="22" t="s">
        <v>0</v>
      </c>
      <c r="B6" s="22" t="s">
        <v>1</v>
      </c>
      <c r="C6" s="17" t="s">
        <v>23</v>
      </c>
      <c r="D6" s="17" t="s">
        <v>18</v>
      </c>
    </row>
    <row r="7" spans="1:9" ht="15" customHeight="1">
      <c r="A7" s="28" t="s">
        <v>22</v>
      </c>
      <c r="B7" s="23">
        <v>2111</v>
      </c>
      <c r="C7" s="31">
        <f>2089700+318430</f>
        <v>2408130</v>
      </c>
      <c r="D7" s="31">
        <f>2165172.4+167246.38</f>
        <v>2332418.7799999998</v>
      </c>
      <c r="E7" s="4">
        <f>C7-D7</f>
        <v>75711.220000000205</v>
      </c>
      <c r="F7" s="4">
        <f>C7-D7</f>
        <v>75711.220000000205</v>
      </c>
    </row>
    <row r="8" spans="1:9" ht="17.25" customHeight="1">
      <c r="A8" s="28" t="s">
        <v>41</v>
      </c>
      <c r="B8" s="23">
        <v>2120</v>
      </c>
      <c r="C8" s="31">
        <f>459730+84100</f>
        <v>543830</v>
      </c>
      <c r="D8" s="31">
        <f>40135.01+486207.32</f>
        <v>526342.32999999996</v>
      </c>
      <c r="E8" s="4">
        <f t="shared" ref="E8:E25" si="0">C8-D8</f>
        <v>17487.670000000042</v>
      </c>
      <c r="F8" s="4">
        <f t="shared" ref="F8:F25" si="1">C8-D8</f>
        <v>17487.670000000042</v>
      </c>
    </row>
    <row r="9" spans="1:9" ht="37.5">
      <c r="A9" s="18" t="s">
        <v>2</v>
      </c>
      <c r="B9" s="24">
        <v>2210</v>
      </c>
      <c r="C9" s="20">
        <f>594.6+49656-11000</f>
        <v>39250.6</v>
      </c>
      <c r="D9" s="31">
        <f>23395.1+15368.1</f>
        <v>38763.199999999997</v>
      </c>
      <c r="E9" s="4">
        <f t="shared" si="0"/>
        <v>487.40000000000146</v>
      </c>
      <c r="F9" s="4">
        <f t="shared" si="1"/>
        <v>487.40000000000146</v>
      </c>
      <c r="H9" s="4"/>
    </row>
    <row r="10" spans="1:9" ht="18.75">
      <c r="A10" s="19" t="s">
        <v>3</v>
      </c>
      <c r="B10" s="24">
        <v>2230</v>
      </c>
      <c r="C10" s="20">
        <f>19420+75320+15000</f>
        <v>109740</v>
      </c>
      <c r="D10" s="20">
        <f>60191.68+49377.56</f>
        <v>109569.23999999999</v>
      </c>
      <c r="E10" s="4">
        <f t="shared" si="0"/>
        <v>170.76000000000931</v>
      </c>
      <c r="F10" s="4">
        <f t="shared" si="1"/>
        <v>170.76000000000931</v>
      </c>
    </row>
    <row r="11" spans="1:9" ht="18.75">
      <c r="A11" s="19" t="s">
        <v>4</v>
      </c>
      <c r="B11" s="24">
        <v>2240</v>
      </c>
      <c r="C11" s="20">
        <f>242535-46000-20000</f>
        <v>176535</v>
      </c>
      <c r="D11" s="20">
        <v>176530.99</v>
      </c>
      <c r="E11" s="4">
        <f t="shared" si="0"/>
        <v>4.0100000000093132</v>
      </c>
      <c r="F11" s="4">
        <f t="shared" si="1"/>
        <v>4.0100000000093132</v>
      </c>
    </row>
    <row r="12" spans="1:9" ht="18.75">
      <c r="A12" s="19" t="s">
        <v>5</v>
      </c>
      <c r="B12" s="24">
        <v>2250</v>
      </c>
      <c r="C12" s="20">
        <v>1605.28</v>
      </c>
      <c r="D12" s="20">
        <v>1605.28</v>
      </c>
      <c r="E12" s="4">
        <f t="shared" si="0"/>
        <v>0</v>
      </c>
      <c r="F12" s="4">
        <f t="shared" si="1"/>
        <v>0</v>
      </c>
    </row>
    <row r="13" spans="1:9" ht="18.75" hidden="1">
      <c r="A13" s="19" t="s">
        <v>6</v>
      </c>
      <c r="B13" s="24">
        <v>2271</v>
      </c>
      <c r="C13" s="20"/>
      <c r="D13" s="20"/>
      <c r="E13" s="4">
        <f t="shared" si="0"/>
        <v>0</v>
      </c>
      <c r="F13" s="4">
        <f t="shared" si="1"/>
        <v>0</v>
      </c>
    </row>
    <row r="14" spans="1:9" ht="37.5">
      <c r="A14" s="18" t="s">
        <v>7</v>
      </c>
      <c r="B14" s="24">
        <v>2272</v>
      </c>
      <c r="C14" s="20">
        <f>33980-25000-6000</f>
        <v>2980</v>
      </c>
      <c r="D14" s="20">
        <v>2642.15</v>
      </c>
      <c r="E14" s="4">
        <f t="shared" si="0"/>
        <v>337.84999999999991</v>
      </c>
      <c r="F14" s="4">
        <f t="shared" si="1"/>
        <v>337.84999999999991</v>
      </c>
    </row>
    <row r="15" spans="1:9" ht="18.75">
      <c r="A15" s="19" t="s">
        <v>8</v>
      </c>
      <c r="B15" s="24">
        <v>2273</v>
      </c>
      <c r="C15" s="20">
        <f>35270+18000</f>
        <v>53270</v>
      </c>
      <c r="D15" s="20">
        <v>53058.49</v>
      </c>
      <c r="E15" s="4">
        <f t="shared" si="0"/>
        <v>211.51000000000204</v>
      </c>
      <c r="F15" s="4">
        <f t="shared" si="1"/>
        <v>211.51000000000204</v>
      </c>
    </row>
    <row r="16" spans="1:9" ht="18.75">
      <c r="A16" s="19" t="s">
        <v>9</v>
      </c>
      <c r="B16" s="24">
        <v>2274</v>
      </c>
      <c r="C16" s="20">
        <f>195790+78000</f>
        <v>273790</v>
      </c>
      <c r="D16" s="20">
        <v>273460.62</v>
      </c>
      <c r="E16" s="4">
        <f t="shared" si="0"/>
        <v>329.38000000000466</v>
      </c>
      <c r="F16" s="4">
        <f t="shared" si="1"/>
        <v>329.38000000000466</v>
      </c>
    </row>
    <row r="17" spans="1:14" ht="18.75" hidden="1">
      <c r="A17" s="19" t="s">
        <v>10</v>
      </c>
      <c r="B17" s="24">
        <v>2275</v>
      </c>
      <c r="C17" s="20"/>
      <c r="D17" s="20"/>
      <c r="E17" s="4">
        <f t="shared" si="0"/>
        <v>0</v>
      </c>
      <c r="F17" s="4">
        <f t="shared" si="1"/>
        <v>0</v>
      </c>
    </row>
    <row r="18" spans="1:14" ht="54.75" customHeight="1">
      <c r="A18" s="18" t="s">
        <v>11</v>
      </c>
      <c r="B18" s="24">
        <v>2282</v>
      </c>
      <c r="C18" s="20">
        <f>14400-2050-2045-2045-2045-2045-1700</f>
        <v>2470</v>
      </c>
      <c r="D18" s="20">
        <v>2043.7</v>
      </c>
      <c r="E18" s="4">
        <f t="shared" si="0"/>
        <v>426.29999999999995</v>
      </c>
      <c r="F18" s="4">
        <f t="shared" si="1"/>
        <v>426.29999999999995</v>
      </c>
    </row>
    <row r="19" spans="1:14" ht="18.75" hidden="1">
      <c r="A19" s="18" t="s">
        <v>14</v>
      </c>
      <c r="B19" s="24">
        <v>2730</v>
      </c>
      <c r="C19" s="20"/>
      <c r="D19" s="20"/>
      <c r="E19" s="4">
        <f t="shared" si="0"/>
        <v>0</v>
      </c>
      <c r="F19" s="4">
        <f t="shared" si="1"/>
        <v>0</v>
      </c>
    </row>
    <row r="20" spans="1:14" ht="18.75">
      <c r="A20" s="18" t="s">
        <v>15</v>
      </c>
      <c r="B20" s="24">
        <v>2800</v>
      </c>
      <c r="C20" s="20">
        <f>260+140</f>
        <v>400</v>
      </c>
      <c r="D20" s="20">
        <v>393.47</v>
      </c>
      <c r="E20" s="4">
        <f t="shared" si="0"/>
        <v>6.5299999999999727</v>
      </c>
      <c r="F20" s="4">
        <f t="shared" si="1"/>
        <v>6.5299999999999727</v>
      </c>
    </row>
    <row r="21" spans="1:14" ht="37.5">
      <c r="A21" s="18" t="s">
        <v>12</v>
      </c>
      <c r="B21" s="24">
        <v>3110</v>
      </c>
      <c r="C21" s="20">
        <f>55900+14000</f>
        <v>69900</v>
      </c>
      <c r="D21" s="20">
        <f>55875.83+14000</f>
        <v>69875.83</v>
      </c>
      <c r="E21" s="4">
        <f t="shared" si="0"/>
        <v>24.169999999998254</v>
      </c>
      <c r="F21" s="4">
        <f t="shared" si="1"/>
        <v>24.169999999998254</v>
      </c>
    </row>
    <row r="22" spans="1:14" ht="37.5" hidden="1">
      <c r="A22" s="18" t="s">
        <v>20</v>
      </c>
      <c r="B22" s="24">
        <v>3122</v>
      </c>
      <c r="C22" s="20"/>
      <c r="D22" s="20"/>
      <c r="E22" s="4">
        <f t="shared" si="0"/>
        <v>0</v>
      </c>
      <c r="F22" s="4">
        <f t="shared" si="1"/>
        <v>0</v>
      </c>
    </row>
    <row r="23" spans="1:14" s="5" customFormat="1" ht="18.75" hidden="1">
      <c r="A23" s="25" t="s">
        <v>16</v>
      </c>
      <c r="B23" s="26">
        <v>3132</v>
      </c>
      <c r="C23" s="27"/>
      <c r="D23" s="27"/>
      <c r="E23" s="4">
        <f t="shared" si="0"/>
        <v>0</v>
      </c>
      <c r="F23" s="4">
        <f t="shared" si="1"/>
        <v>0</v>
      </c>
      <c r="H23" s="39"/>
      <c r="I23" s="39"/>
      <c r="J23" s="39"/>
      <c r="K23" s="39"/>
      <c r="L23" s="39"/>
      <c r="M23" s="39"/>
      <c r="N23" s="39"/>
    </row>
    <row r="24" spans="1:14" ht="37.5" hidden="1">
      <c r="A24" s="36" t="s">
        <v>42</v>
      </c>
      <c r="B24" s="24">
        <v>3142</v>
      </c>
      <c r="C24" s="20"/>
      <c r="D24" s="20"/>
      <c r="E24" s="4">
        <f t="shared" si="0"/>
        <v>0</v>
      </c>
      <c r="F24" s="4">
        <f t="shared" si="1"/>
        <v>0</v>
      </c>
    </row>
    <row r="25" spans="1:14" ht="18.75">
      <c r="A25" s="18" t="s">
        <v>13</v>
      </c>
      <c r="B25" s="24"/>
      <c r="C25" s="21">
        <f>SUM(C7:C24)</f>
        <v>3681900.88</v>
      </c>
      <c r="D25" s="49">
        <f>SUM(D7:D24)</f>
        <v>3586704.0800000005</v>
      </c>
      <c r="E25" s="4">
        <f t="shared" si="0"/>
        <v>95196.799999999348</v>
      </c>
      <c r="F25" s="4">
        <f t="shared" si="1"/>
        <v>95196.799999999348</v>
      </c>
    </row>
    <row r="26" spans="1:14" ht="18.75">
      <c r="A26" s="11"/>
      <c r="B26" s="8"/>
      <c r="C26" s="12"/>
      <c r="D26" s="12"/>
    </row>
    <row r="27" spans="1:14" ht="31.5" customHeight="1">
      <c r="A27" s="56" t="s">
        <v>25</v>
      </c>
      <c r="B27" s="77"/>
      <c r="C27" s="77"/>
      <c r="D27" s="77"/>
    </row>
    <row r="28" spans="1:14" ht="18.75">
      <c r="A28" s="14"/>
      <c r="D28" s="35"/>
    </row>
    <row r="29" spans="1:14" ht="75">
      <c r="A29" s="22" t="s">
        <v>0</v>
      </c>
      <c r="B29" s="22" t="s">
        <v>1</v>
      </c>
      <c r="C29" s="17" t="s">
        <v>23</v>
      </c>
      <c r="D29" s="17" t="s">
        <v>18</v>
      </c>
    </row>
    <row r="30" spans="1:14" ht="37.5" hidden="1">
      <c r="A30" s="18" t="s">
        <v>2</v>
      </c>
      <c r="B30" s="24">
        <v>2210</v>
      </c>
      <c r="C30" s="40"/>
      <c r="D30" s="20"/>
      <c r="F30" s="4"/>
    </row>
    <row r="31" spans="1:14" ht="18.75">
      <c r="A31" s="19" t="s">
        <v>3</v>
      </c>
      <c r="B31" s="24">
        <v>2230</v>
      </c>
      <c r="C31" s="54">
        <v>18277.939999999999</v>
      </c>
      <c r="D31" s="40">
        <v>17693.88</v>
      </c>
      <c r="F31" s="4"/>
    </row>
    <row r="32" spans="1:14" ht="18.75" hidden="1">
      <c r="A32" s="19" t="s">
        <v>4</v>
      </c>
      <c r="B32" s="24">
        <v>2240</v>
      </c>
      <c r="C32" s="40"/>
      <c r="D32" s="20"/>
      <c r="F32" s="4"/>
    </row>
    <row r="33" spans="1:6" ht="18.75" hidden="1">
      <c r="A33" s="19" t="s">
        <v>10</v>
      </c>
      <c r="B33" s="43">
        <v>2275</v>
      </c>
      <c r="C33" s="40"/>
      <c r="D33" s="20"/>
      <c r="F33" s="4"/>
    </row>
    <row r="34" spans="1:6" ht="18.75" hidden="1">
      <c r="A34" s="18" t="s">
        <v>15</v>
      </c>
      <c r="B34" s="24">
        <v>2800</v>
      </c>
      <c r="C34" s="40"/>
      <c r="D34" s="20"/>
      <c r="F34" s="4"/>
    </row>
    <row r="35" spans="1:6" ht="37.5" hidden="1">
      <c r="A35" s="18" t="s">
        <v>12</v>
      </c>
      <c r="B35" s="24">
        <v>3110</v>
      </c>
      <c r="C35" s="20"/>
      <c r="D35" s="20"/>
      <c r="F35" s="4"/>
    </row>
    <row r="36" spans="1:6" ht="18.75" hidden="1">
      <c r="A36" s="25" t="s">
        <v>16</v>
      </c>
      <c r="B36" s="26">
        <v>3132</v>
      </c>
      <c r="C36" s="27"/>
      <c r="D36" s="27"/>
      <c r="F36" s="4"/>
    </row>
    <row r="37" spans="1:6" ht="18.75">
      <c r="A37" s="18" t="s">
        <v>13</v>
      </c>
      <c r="B37" s="24"/>
      <c r="C37" s="21">
        <f>SUM(C30:C36)</f>
        <v>18277.939999999999</v>
      </c>
      <c r="D37" s="21">
        <f>SUM(D30:D36)</f>
        <v>17693.88</v>
      </c>
      <c r="F37" s="4"/>
    </row>
    <row r="40" spans="1:6" ht="34.5" customHeight="1">
      <c r="A40" s="58" t="s">
        <v>26</v>
      </c>
      <c r="B40" s="59"/>
      <c r="C40" s="59"/>
      <c r="D40" s="59"/>
    </row>
    <row r="42" spans="1:6" ht="75">
      <c r="A42" s="22" t="s">
        <v>0</v>
      </c>
      <c r="B42" s="22" t="s">
        <v>1</v>
      </c>
      <c r="C42" s="17" t="s">
        <v>23</v>
      </c>
      <c r="D42" s="17" t="s">
        <v>18</v>
      </c>
    </row>
    <row r="43" spans="1:6" ht="37.5">
      <c r="A43" s="18" t="s">
        <v>2</v>
      </c>
      <c r="B43" s="24">
        <v>2210</v>
      </c>
      <c r="C43" s="20">
        <v>322.95999999999998</v>
      </c>
      <c r="D43" s="20">
        <v>322.95999999999998</v>
      </c>
      <c r="F43" s="4"/>
    </row>
    <row r="44" spans="1:6" ht="18.75">
      <c r="A44" s="19" t="s">
        <v>3</v>
      </c>
      <c r="B44" s="24">
        <v>2230</v>
      </c>
      <c r="C44" s="40">
        <v>25897.1</v>
      </c>
      <c r="D44" s="40">
        <v>25897.1</v>
      </c>
      <c r="F44" s="4"/>
    </row>
    <row r="45" spans="1:6" ht="18.75" hidden="1">
      <c r="A45" s="19" t="s">
        <v>4</v>
      </c>
      <c r="B45" s="24">
        <v>2240</v>
      </c>
      <c r="C45" s="20"/>
      <c r="D45" s="20"/>
      <c r="F45" s="4"/>
    </row>
    <row r="46" spans="1:6" ht="18.75" hidden="1">
      <c r="A46" s="19" t="s">
        <v>10</v>
      </c>
      <c r="B46" s="24">
        <v>2275</v>
      </c>
      <c r="C46" s="20"/>
      <c r="D46" s="20"/>
      <c r="F46" s="4"/>
    </row>
    <row r="47" spans="1:6" ht="18.75" hidden="1">
      <c r="A47" s="18" t="s">
        <v>15</v>
      </c>
      <c r="B47" s="24">
        <v>2800</v>
      </c>
      <c r="C47" s="20"/>
      <c r="D47" s="20"/>
      <c r="F47" s="4"/>
    </row>
    <row r="48" spans="1:6" ht="37.5">
      <c r="A48" s="18" t="s">
        <v>12</v>
      </c>
      <c r="B48" s="24">
        <v>3110</v>
      </c>
      <c r="C48" s="40">
        <v>3715.01</v>
      </c>
      <c r="D48" s="40">
        <v>3715.01</v>
      </c>
      <c r="F48" s="4"/>
    </row>
    <row r="49" spans="1:6" ht="18.75" hidden="1">
      <c r="A49" s="25" t="s">
        <v>16</v>
      </c>
      <c r="B49" s="26">
        <v>3132</v>
      </c>
      <c r="C49" s="27"/>
      <c r="D49" s="27"/>
      <c r="F49" s="4"/>
    </row>
    <row r="50" spans="1:6" ht="18.75">
      <c r="A50" s="18" t="s">
        <v>13</v>
      </c>
      <c r="B50" s="24"/>
      <c r="C50" s="21">
        <f>C43+C44+C47+C48+C49</f>
        <v>29935.07</v>
      </c>
      <c r="D50" s="21">
        <f>D43+D44+D47+D48+D49</f>
        <v>29935.07</v>
      </c>
      <c r="F50" s="4"/>
    </row>
    <row r="51" spans="1:6" ht="18.75">
      <c r="A51" s="45"/>
      <c r="B51" s="46"/>
      <c r="C51" s="47"/>
      <c r="D51" s="47"/>
      <c r="F51" s="4"/>
    </row>
    <row r="52" spans="1:6" ht="18.75">
      <c r="A52" s="45"/>
      <c r="B52" s="46"/>
      <c r="C52" s="47"/>
      <c r="D52" s="47"/>
      <c r="F52" s="4"/>
    </row>
    <row r="55" spans="1:6" ht="33.75" customHeight="1">
      <c r="A55" s="58" t="s">
        <v>61</v>
      </c>
      <c r="B55" s="59"/>
      <c r="C55" s="59"/>
      <c r="D55" s="59"/>
    </row>
    <row r="56" spans="1:6">
      <c r="A56" s="3"/>
      <c r="B56" s="1"/>
      <c r="C56"/>
      <c r="D56"/>
    </row>
    <row r="57" spans="1:6">
      <c r="A57" s="3"/>
      <c r="B57" s="1"/>
      <c r="C57"/>
      <c r="D57"/>
    </row>
    <row r="58" spans="1:6" ht="18.75">
      <c r="A58" s="60" t="s">
        <v>27</v>
      </c>
      <c r="B58" s="61"/>
      <c r="C58" s="62" t="s">
        <v>28</v>
      </c>
      <c r="D58" s="61"/>
    </row>
    <row r="59" spans="1:6" ht="18.75" hidden="1">
      <c r="A59" s="42" t="s">
        <v>36</v>
      </c>
      <c r="B59" s="37">
        <v>2210</v>
      </c>
      <c r="C59" s="55"/>
      <c r="D59" s="55"/>
    </row>
    <row r="60" spans="1:6" ht="18.75" hidden="1">
      <c r="A60" s="42" t="s">
        <v>30</v>
      </c>
      <c r="B60" s="37">
        <v>2210</v>
      </c>
      <c r="C60" s="71"/>
      <c r="D60" s="72"/>
    </row>
    <row r="61" spans="1:6" ht="18.75" hidden="1">
      <c r="A61" s="42" t="s">
        <v>33</v>
      </c>
      <c r="B61" s="37">
        <v>2210</v>
      </c>
      <c r="C61" s="71"/>
      <c r="D61" s="72"/>
    </row>
    <row r="62" spans="1:6" ht="18.75" hidden="1">
      <c r="A62" s="42" t="s">
        <v>38</v>
      </c>
      <c r="B62" s="38">
        <v>3110.221</v>
      </c>
      <c r="C62" s="65"/>
      <c r="D62" s="66"/>
    </row>
    <row r="63" spans="1:6" ht="18.75" hidden="1">
      <c r="A63" s="42" t="s">
        <v>29</v>
      </c>
      <c r="B63" s="37">
        <v>2210</v>
      </c>
      <c r="C63" s="71"/>
      <c r="D63" s="72"/>
    </row>
    <row r="64" spans="1:6" ht="18.75" hidden="1">
      <c r="A64" s="42" t="s">
        <v>31</v>
      </c>
      <c r="B64" s="37">
        <v>2210</v>
      </c>
      <c r="C64" s="71"/>
      <c r="D64" s="72"/>
    </row>
    <row r="65" spans="1:4" ht="18.75" hidden="1">
      <c r="A65" s="42" t="s">
        <v>37</v>
      </c>
      <c r="B65" s="37">
        <v>2210</v>
      </c>
      <c r="C65" s="71"/>
      <c r="D65" s="72"/>
    </row>
    <row r="66" spans="1:4" ht="18.75">
      <c r="A66" s="42" t="s">
        <v>32</v>
      </c>
      <c r="B66" s="37">
        <v>3110</v>
      </c>
      <c r="C66" s="65">
        <v>3715.01</v>
      </c>
      <c r="D66" s="66"/>
    </row>
    <row r="67" spans="1:4" ht="18.75" hidden="1">
      <c r="A67" s="42" t="s">
        <v>34</v>
      </c>
      <c r="B67" s="37">
        <v>2210</v>
      </c>
      <c r="C67" s="67"/>
      <c r="D67" s="68"/>
    </row>
    <row r="68" spans="1:4" ht="18.75" hidden="1">
      <c r="A68" s="42" t="s">
        <v>35</v>
      </c>
      <c r="B68" s="37">
        <v>2210</v>
      </c>
      <c r="C68" s="67"/>
      <c r="D68" s="68"/>
    </row>
    <row r="69" spans="1:4" ht="18.75" hidden="1">
      <c r="A69" s="42" t="s">
        <v>47</v>
      </c>
      <c r="B69" s="37">
        <v>2240</v>
      </c>
      <c r="C69" s="67"/>
      <c r="D69" s="68"/>
    </row>
    <row r="70" spans="1:4" ht="18.75">
      <c r="A70" s="42" t="s">
        <v>39</v>
      </c>
      <c r="B70" s="37">
        <v>2230</v>
      </c>
      <c r="C70" s="65">
        <v>25897.1</v>
      </c>
      <c r="D70" s="66"/>
    </row>
    <row r="71" spans="1:4" ht="18.75" hidden="1">
      <c r="A71" s="42" t="s">
        <v>40</v>
      </c>
      <c r="B71" s="37">
        <v>2210</v>
      </c>
      <c r="C71" s="65"/>
      <c r="D71" s="66"/>
    </row>
    <row r="72" spans="1:4" ht="18.75">
      <c r="A72" s="42" t="s">
        <v>46</v>
      </c>
      <c r="B72" s="37">
        <v>2210</v>
      </c>
      <c r="C72" s="65">
        <v>322.95999999999998</v>
      </c>
      <c r="D72" s="66"/>
    </row>
    <row r="73" spans="1:4" ht="18.75" hidden="1">
      <c r="A73" s="42" t="s">
        <v>44</v>
      </c>
      <c r="B73" s="37">
        <v>2210</v>
      </c>
      <c r="C73" s="65"/>
      <c r="D73" s="66"/>
    </row>
    <row r="74" spans="1:4" ht="18.75" hidden="1">
      <c r="A74" s="42" t="s">
        <v>43</v>
      </c>
      <c r="B74" s="37">
        <v>2210</v>
      </c>
      <c r="C74" s="65"/>
      <c r="D74" s="66"/>
    </row>
    <row r="75" spans="1:4" ht="18.75" hidden="1">
      <c r="A75" s="42" t="s">
        <v>45</v>
      </c>
      <c r="B75" s="43">
        <v>2210</v>
      </c>
      <c r="C75" s="65"/>
      <c r="D75" s="66"/>
    </row>
    <row r="76" spans="1:4" ht="18.75">
      <c r="A76" s="63"/>
      <c r="B76" s="64"/>
      <c r="C76" s="65"/>
      <c r="D76" s="66"/>
    </row>
    <row r="77" spans="1:4" ht="18.75">
      <c r="A77" s="63"/>
      <c r="B77" s="64"/>
      <c r="C77" s="69">
        <f>SUM(C59:D76)</f>
        <v>29935.07</v>
      </c>
      <c r="D77" s="70"/>
    </row>
  </sheetData>
  <mergeCells count="29">
    <mergeCell ref="A3:D3"/>
    <mergeCell ref="A2:D2"/>
    <mergeCell ref="A5:D5"/>
    <mergeCell ref="C61:D61"/>
    <mergeCell ref="C62:D62"/>
    <mergeCell ref="A27:D27"/>
    <mergeCell ref="A40:D40"/>
    <mergeCell ref="A55:D55"/>
    <mergeCell ref="C59:D59"/>
    <mergeCell ref="C60:D60"/>
    <mergeCell ref="A58:B58"/>
    <mergeCell ref="C58:D58"/>
    <mergeCell ref="C64:D64"/>
    <mergeCell ref="C65:D65"/>
    <mergeCell ref="C66:D66"/>
    <mergeCell ref="C63:D63"/>
    <mergeCell ref="C67:D67"/>
    <mergeCell ref="C68:D68"/>
    <mergeCell ref="C69:D69"/>
    <mergeCell ref="C70:D70"/>
    <mergeCell ref="C71:D71"/>
    <mergeCell ref="A77:B77"/>
    <mergeCell ref="C77:D77"/>
    <mergeCell ref="C72:D72"/>
    <mergeCell ref="C73:D73"/>
    <mergeCell ref="C74:D74"/>
    <mergeCell ref="C75:D75"/>
    <mergeCell ref="A76:B76"/>
    <mergeCell ref="C76:D76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7"/>
  <sheetViews>
    <sheetView zoomScaleNormal="100" workbookViewId="0">
      <selection activeCell="A2" sqref="A2:D2"/>
    </sheetView>
  </sheetViews>
  <sheetFormatPr defaultRowHeight="15"/>
  <cols>
    <col min="1" max="1" width="43" style="3" customWidth="1"/>
    <col min="2" max="2" width="7.5" style="1" customWidth="1"/>
    <col min="3" max="3" width="16.875" customWidth="1"/>
    <col min="4" max="4" width="16.5" customWidth="1"/>
    <col min="5" max="5" width="11.25" hidden="1" customWidth="1"/>
    <col min="6" max="6" width="11.875" hidden="1" customWidth="1"/>
  </cols>
  <sheetData>
    <row r="2" spans="1:6" ht="41.25" customHeight="1">
      <c r="A2" s="56" t="s">
        <v>60</v>
      </c>
      <c r="B2" s="57"/>
      <c r="C2" s="57"/>
      <c r="D2" s="57"/>
    </row>
    <row r="3" spans="1:6" ht="38.25" customHeight="1">
      <c r="A3" s="73" t="s">
        <v>52</v>
      </c>
      <c r="B3" s="74"/>
      <c r="C3" s="74"/>
      <c r="D3" s="74"/>
    </row>
    <row r="4" spans="1:6" ht="18.75">
      <c r="A4" s="13"/>
      <c r="B4" s="14"/>
      <c r="C4" s="15"/>
      <c r="D4" s="15"/>
    </row>
    <row r="5" spans="1:6" ht="52.5" customHeight="1">
      <c r="A5" s="75" t="s">
        <v>24</v>
      </c>
      <c r="B5" s="78"/>
      <c r="C5" s="78"/>
      <c r="D5" s="78"/>
    </row>
    <row r="6" spans="1:6" s="2" customFormat="1" ht="72" customHeight="1">
      <c r="A6" s="16" t="s">
        <v>0</v>
      </c>
      <c r="B6" s="16" t="s">
        <v>1</v>
      </c>
      <c r="C6" s="17" t="s">
        <v>23</v>
      </c>
      <c r="D6" s="17" t="s">
        <v>18</v>
      </c>
    </row>
    <row r="7" spans="1:6" s="2" customFormat="1" ht="18.75">
      <c r="A7" s="28" t="s">
        <v>22</v>
      </c>
      <c r="B7" s="23">
        <v>2111</v>
      </c>
      <c r="C7" s="31">
        <f>4162680+155360</f>
        <v>4318040</v>
      </c>
      <c r="D7" s="31">
        <f>3732298.84+163924.53</f>
        <v>3896223.3699999996</v>
      </c>
      <c r="E7" s="4">
        <f>C7-D7</f>
        <v>421816.63000000035</v>
      </c>
      <c r="F7" s="32">
        <f>C7-D7</f>
        <v>421816.63000000035</v>
      </c>
    </row>
    <row r="8" spans="1:6" s="2" customFormat="1" ht="18.75">
      <c r="A8" s="28" t="s">
        <v>41</v>
      </c>
      <c r="B8" s="23">
        <v>2120</v>
      </c>
      <c r="C8" s="31">
        <f>915790+34190</f>
        <v>949980</v>
      </c>
      <c r="D8" s="31">
        <f>36063.45+842465.83</f>
        <v>878529.27999999991</v>
      </c>
      <c r="E8" s="4">
        <f t="shared" ref="E8:E25" si="0">C8-D8</f>
        <v>71450.720000000088</v>
      </c>
      <c r="F8" s="32">
        <f t="shared" ref="F8:F25" si="1">C8-D8</f>
        <v>71450.720000000088</v>
      </c>
    </row>
    <row r="9" spans="1:6" ht="37.5">
      <c r="A9" s="18" t="s">
        <v>2</v>
      </c>
      <c r="B9" s="19">
        <v>2210</v>
      </c>
      <c r="C9" s="20">
        <f>30423+8120+161000</f>
        <v>199543</v>
      </c>
      <c r="D9" s="20">
        <f>68216.7+131188.9</f>
        <v>199405.59999999998</v>
      </c>
      <c r="E9" s="4">
        <f t="shared" si="0"/>
        <v>137.40000000002328</v>
      </c>
      <c r="F9" s="32">
        <f t="shared" si="1"/>
        <v>137.40000000002328</v>
      </c>
    </row>
    <row r="10" spans="1:6" ht="18.75">
      <c r="A10" s="18" t="s">
        <v>3</v>
      </c>
      <c r="B10" s="19">
        <v>2230</v>
      </c>
      <c r="C10" s="20">
        <f>110780+230000</f>
        <v>340780</v>
      </c>
      <c r="D10" s="20">
        <v>339302.79</v>
      </c>
      <c r="E10" s="4">
        <f t="shared" si="0"/>
        <v>1477.210000000021</v>
      </c>
      <c r="F10" s="32">
        <f t="shared" si="1"/>
        <v>1477.210000000021</v>
      </c>
    </row>
    <row r="11" spans="1:6" ht="18.75">
      <c r="A11" s="18" t="s">
        <v>4</v>
      </c>
      <c r="B11" s="19">
        <v>2240</v>
      </c>
      <c r="C11" s="20">
        <f>60660+46000-100</f>
        <v>106560</v>
      </c>
      <c r="D11" s="20">
        <v>106548.27</v>
      </c>
      <c r="E11" s="4">
        <f t="shared" si="0"/>
        <v>11.729999999995925</v>
      </c>
      <c r="F11" s="32">
        <f t="shared" si="1"/>
        <v>11.729999999995925</v>
      </c>
    </row>
    <row r="12" spans="1:6" ht="18.75">
      <c r="A12" s="18" t="s">
        <v>5</v>
      </c>
      <c r="B12" s="19">
        <v>2250</v>
      </c>
      <c r="C12" s="20">
        <v>780</v>
      </c>
      <c r="D12" s="20">
        <v>780</v>
      </c>
      <c r="E12" s="4">
        <f t="shared" si="0"/>
        <v>0</v>
      </c>
      <c r="F12" s="32">
        <f t="shared" si="1"/>
        <v>0</v>
      </c>
    </row>
    <row r="13" spans="1:6" ht="18.75" hidden="1">
      <c r="A13" s="18" t="s">
        <v>6</v>
      </c>
      <c r="B13" s="19">
        <v>2271</v>
      </c>
      <c r="C13" s="20"/>
      <c r="D13" s="20"/>
      <c r="E13" s="4">
        <f t="shared" si="0"/>
        <v>0</v>
      </c>
      <c r="F13" s="32">
        <f t="shared" si="1"/>
        <v>0</v>
      </c>
    </row>
    <row r="14" spans="1:6" ht="37.5">
      <c r="A14" s="18" t="s">
        <v>7</v>
      </c>
      <c r="B14" s="19">
        <v>2272</v>
      </c>
      <c r="C14" s="20">
        <f>13730-4500-500</f>
        <v>8730</v>
      </c>
      <c r="D14" s="20">
        <v>7110</v>
      </c>
      <c r="E14" s="4">
        <f t="shared" si="0"/>
        <v>1620</v>
      </c>
      <c r="F14" s="32">
        <f t="shared" si="1"/>
        <v>1620</v>
      </c>
    </row>
    <row r="15" spans="1:6" ht="18.75">
      <c r="A15" s="18" t="s">
        <v>8</v>
      </c>
      <c r="B15" s="19">
        <v>2273</v>
      </c>
      <c r="C15" s="20">
        <f>63920+28000</f>
        <v>91920</v>
      </c>
      <c r="D15" s="20">
        <v>91551.8</v>
      </c>
      <c r="E15" s="4">
        <f t="shared" si="0"/>
        <v>368.19999999999709</v>
      </c>
      <c r="F15" s="32">
        <f t="shared" si="1"/>
        <v>368.19999999999709</v>
      </c>
    </row>
    <row r="16" spans="1:6" ht="18.75" hidden="1">
      <c r="A16" s="18" t="s">
        <v>9</v>
      </c>
      <c r="B16" s="19">
        <v>2274</v>
      </c>
      <c r="C16" s="20"/>
      <c r="D16" s="20"/>
      <c r="E16" s="4">
        <f t="shared" si="0"/>
        <v>0</v>
      </c>
      <c r="F16" s="32">
        <f t="shared" si="1"/>
        <v>0</v>
      </c>
    </row>
    <row r="17" spans="1:8" ht="18.75">
      <c r="A17" s="18" t="s">
        <v>10</v>
      </c>
      <c r="B17" s="19">
        <v>2275</v>
      </c>
      <c r="C17" s="20">
        <f>597000+142000</f>
        <v>739000</v>
      </c>
      <c r="D17" s="20">
        <v>738850</v>
      </c>
      <c r="E17" s="4">
        <f t="shared" si="0"/>
        <v>150</v>
      </c>
      <c r="F17" s="32">
        <f t="shared" si="1"/>
        <v>150</v>
      </c>
    </row>
    <row r="18" spans="1:8" ht="33.75" customHeight="1">
      <c r="A18" s="18" t="s">
        <v>11</v>
      </c>
      <c r="B18" s="19">
        <v>2282</v>
      </c>
      <c r="C18" s="20">
        <v>2050</v>
      </c>
      <c r="D18" s="20">
        <v>2043.75</v>
      </c>
      <c r="E18" s="4">
        <f t="shared" si="0"/>
        <v>6.25</v>
      </c>
      <c r="F18" s="32">
        <f t="shared" si="1"/>
        <v>6.25</v>
      </c>
    </row>
    <row r="19" spans="1:8" ht="18" hidden="1" customHeight="1">
      <c r="A19" s="18" t="s">
        <v>14</v>
      </c>
      <c r="B19" s="19">
        <v>2730</v>
      </c>
      <c r="C19" s="20"/>
      <c r="D19" s="20"/>
      <c r="E19" s="4">
        <f t="shared" si="0"/>
        <v>0</v>
      </c>
      <c r="F19" s="32">
        <f t="shared" si="1"/>
        <v>0</v>
      </c>
    </row>
    <row r="20" spans="1:8" ht="15.75" customHeight="1">
      <c r="A20" s="18" t="s">
        <v>15</v>
      </c>
      <c r="B20" s="19">
        <v>2800</v>
      </c>
      <c r="C20" s="20">
        <f>6053+2800</f>
        <v>8853</v>
      </c>
      <c r="D20" s="20">
        <v>8809.76</v>
      </c>
      <c r="E20" s="4">
        <f t="shared" si="0"/>
        <v>43.239999999999782</v>
      </c>
      <c r="F20" s="32">
        <f t="shared" si="1"/>
        <v>43.239999999999782</v>
      </c>
    </row>
    <row r="21" spans="1:8" ht="34.5" customHeight="1">
      <c r="A21" s="18" t="s">
        <v>12</v>
      </c>
      <c r="B21" s="19">
        <v>3110</v>
      </c>
      <c r="C21" s="20">
        <f>98500+32200</f>
        <v>130700</v>
      </c>
      <c r="D21" s="20">
        <f>98423.83+32200</f>
        <v>130623.83</v>
      </c>
      <c r="E21" s="4">
        <f t="shared" si="0"/>
        <v>76.169999999998254</v>
      </c>
      <c r="F21" s="32">
        <f t="shared" si="1"/>
        <v>76.169999999998254</v>
      </c>
      <c r="H21" s="41"/>
    </row>
    <row r="22" spans="1:8" ht="37.5" hidden="1">
      <c r="A22" s="18" t="s">
        <v>20</v>
      </c>
      <c r="B22" s="19">
        <v>3122</v>
      </c>
      <c r="C22" s="20"/>
      <c r="D22" s="20"/>
      <c r="E22" s="4">
        <f t="shared" si="0"/>
        <v>0</v>
      </c>
      <c r="F22" s="32">
        <f t="shared" si="1"/>
        <v>0</v>
      </c>
    </row>
    <row r="23" spans="1:8" ht="18.75" hidden="1">
      <c r="A23" s="18" t="s">
        <v>21</v>
      </c>
      <c r="B23" s="19">
        <v>3132</v>
      </c>
      <c r="C23" s="20"/>
      <c r="D23" s="20"/>
      <c r="E23" s="4">
        <f t="shared" si="0"/>
        <v>0</v>
      </c>
      <c r="F23" s="32">
        <f t="shared" si="1"/>
        <v>0</v>
      </c>
    </row>
    <row r="24" spans="1:8" ht="37.5" hidden="1">
      <c r="A24" s="36" t="s">
        <v>42</v>
      </c>
      <c r="B24" s="19">
        <v>3142</v>
      </c>
      <c r="C24" s="20"/>
      <c r="D24" s="20"/>
      <c r="E24" s="4">
        <f t="shared" si="0"/>
        <v>0</v>
      </c>
      <c r="F24" s="32">
        <f t="shared" si="1"/>
        <v>0</v>
      </c>
    </row>
    <row r="25" spans="1:8" ht="18.75">
      <c r="A25" s="18" t="s">
        <v>13</v>
      </c>
      <c r="B25" s="19"/>
      <c r="C25" s="21">
        <f>SUM(C7:C24)</f>
        <v>6896936</v>
      </c>
      <c r="D25" s="49">
        <f>SUM(D7:D24)</f>
        <v>6399778.4499999983</v>
      </c>
      <c r="E25" s="4">
        <f t="shared" si="0"/>
        <v>497157.55000000168</v>
      </c>
      <c r="F25" s="32">
        <f t="shared" si="1"/>
        <v>497157.55000000168</v>
      </c>
    </row>
    <row r="26" spans="1:8">
      <c r="C26" s="4"/>
      <c r="D26" s="4"/>
    </row>
    <row r="27" spans="1:8">
      <c r="C27" s="4"/>
      <c r="D27" s="4"/>
    </row>
    <row r="28" spans="1:8" ht="39.75" customHeight="1">
      <c r="A28" s="56" t="s">
        <v>25</v>
      </c>
      <c r="B28" s="77"/>
      <c r="C28" s="77"/>
      <c r="D28" s="77"/>
    </row>
    <row r="29" spans="1:8">
      <c r="D29" s="35"/>
    </row>
    <row r="30" spans="1:8" ht="75">
      <c r="A30" s="22" t="s">
        <v>0</v>
      </c>
      <c r="B30" s="22" t="s">
        <v>1</v>
      </c>
      <c r="C30" s="17" t="s">
        <v>23</v>
      </c>
      <c r="D30" s="17" t="s">
        <v>18</v>
      </c>
    </row>
    <row r="31" spans="1:8" ht="37.5">
      <c r="A31" s="18" t="s">
        <v>2</v>
      </c>
      <c r="B31" s="24">
        <v>2210</v>
      </c>
      <c r="C31" s="40">
        <v>1270</v>
      </c>
      <c r="D31" s="20">
        <v>1265.5</v>
      </c>
      <c r="F31" s="32"/>
    </row>
    <row r="32" spans="1:8" ht="18.75" hidden="1">
      <c r="A32" s="19" t="s">
        <v>3</v>
      </c>
      <c r="B32" s="24">
        <v>2230</v>
      </c>
      <c r="C32" s="40"/>
      <c r="D32" s="20"/>
      <c r="F32" s="32"/>
    </row>
    <row r="33" spans="1:6" ht="18.75" hidden="1">
      <c r="A33" s="19" t="s">
        <v>4</v>
      </c>
      <c r="B33" s="24">
        <v>2240</v>
      </c>
      <c r="C33" s="40"/>
      <c r="D33" s="20"/>
      <c r="F33" s="32"/>
    </row>
    <row r="34" spans="1:6" ht="18.75">
      <c r="A34" s="19" t="s">
        <v>10</v>
      </c>
      <c r="B34" s="24">
        <v>2275</v>
      </c>
      <c r="C34" s="40">
        <v>24</v>
      </c>
      <c r="D34" s="40">
        <v>20</v>
      </c>
      <c r="F34" s="32"/>
    </row>
    <row r="35" spans="1:6" ht="18.75" hidden="1">
      <c r="A35" s="18" t="s">
        <v>15</v>
      </c>
      <c r="B35" s="24">
        <v>2800</v>
      </c>
      <c r="C35" s="40"/>
      <c r="D35" s="20"/>
      <c r="F35" s="32"/>
    </row>
    <row r="36" spans="1:6" ht="37.5" hidden="1">
      <c r="A36" s="18" t="s">
        <v>12</v>
      </c>
      <c r="B36" s="24">
        <v>3110</v>
      </c>
      <c r="C36" s="20"/>
      <c r="D36" s="20"/>
      <c r="F36" s="32"/>
    </row>
    <row r="37" spans="1:6" ht="18.75" hidden="1">
      <c r="A37" s="25" t="s">
        <v>16</v>
      </c>
      <c r="B37" s="26">
        <v>3132</v>
      </c>
      <c r="C37" s="27"/>
      <c r="D37" s="27"/>
      <c r="F37" s="32"/>
    </row>
    <row r="38" spans="1:6" ht="18.75">
      <c r="A38" s="18" t="s">
        <v>13</v>
      </c>
      <c r="B38" s="24"/>
      <c r="C38" s="21">
        <f>SUM(C31:C37)</f>
        <v>1294</v>
      </c>
      <c r="D38" s="21">
        <f>SUM(D31:D37)</f>
        <v>1285.5</v>
      </c>
      <c r="F38" s="32"/>
    </row>
    <row r="39" spans="1:6" ht="18.75">
      <c r="A39" s="45"/>
      <c r="B39" s="46"/>
      <c r="C39" s="47"/>
      <c r="D39" s="47"/>
      <c r="F39" s="32"/>
    </row>
    <row r="40" spans="1:6" ht="12.75" customHeight="1">
      <c r="A40" s="1"/>
      <c r="B40" s="10"/>
      <c r="C40" s="4"/>
      <c r="D40" s="4"/>
    </row>
    <row r="41" spans="1:6" ht="34.5" customHeight="1">
      <c r="A41" s="58" t="s">
        <v>26</v>
      </c>
      <c r="B41" s="59"/>
      <c r="C41" s="59"/>
      <c r="D41" s="59"/>
    </row>
    <row r="42" spans="1:6">
      <c r="A42" s="1"/>
      <c r="B42" s="10"/>
      <c r="C42" s="4"/>
      <c r="D42" s="4"/>
    </row>
    <row r="43" spans="1:6" ht="75">
      <c r="A43" s="22" t="s">
        <v>0</v>
      </c>
      <c r="B43" s="22" t="s">
        <v>1</v>
      </c>
      <c r="C43" s="17" t="s">
        <v>23</v>
      </c>
      <c r="D43" s="17" t="s">
        <v>18</v>
      </c>
    </row>
    <row r="44" spans="1:6" ht="37.5">
      <c r="A44" s="18" t="s">
        <v>2</v>
      </c>
      <c r="B44" s="24">
        <v>2210</v>
      </c>
      <c r="C44" s="40">
        <v>9333.2999999999993</v>
      </c>
      <c r="D44" s="40">
        <v>9333.2999999999993</v>
      </c>
      <c r="F44" s="32"/>
    </row>
    <row r="45" spans="1:6" ht="18.75">
      <c r="A45" s="19" t="s">
        <v>3</v>
      </c>
      <c r="B45" s="24">
        <v>2230</v>
      </c>
      <c r="C45" s="40">
        <v>59649.85</v>
      </c>
      <c r="D45" s="40">
        <v>59649.85</v>
      </c>
      <c r="F45" s="32"/>
    </row>
    <row r="46" spans="1:6" ht="18.75" hidden="1">
      <c r="A46" s="19" t="s">
        <v>4</v>
      </c>
      <c r="B46" s="24">
        <v>2240</v>
      </c>
      <c r="C46" s="40"/>
      <c r="D46" s="40"/>
      <c r="F46" s="32"/>
    </row>
    <row r="47" spans="1:6" ht="18.75" hidden="1">
      <c r="A47" s="19" t="s">
        <v>10</v>
      </c>
      <c r="B47" s="24">
        <v>2275</v>
      </c>
      <c r="C47" s="40"/>
      <c r="D47" s="40"/>
      <c r="F47" s="32"/>
    </row>
    <row r="48" spans="1:6" ht="18.75" hidden="1">
      <c r="A48" s="18" t="s">
        <v>15</v>
      </c>
      <c r="B48" s="24">
        <v>2800</v>
      </c>
      <c r="C48" s="40"/>
      <c r="D48" s="40"/>
      <c r="F48" s="32"/>
    </row>
    <row r="49" spans="1:6" ht="37.5">
      <c r="A49" s="18" t="s">
        <v>12</v>
      </c>
      <c r="B49" s="24">
        <v>3110</v>
      </c>
      <c r="C49" s="40">
        <v>66250.570000000007</v>
      </c>
      <c r="D49" s="40">
        <v>66250.570000000007</v>
      </c>
      <c r="F49" s="32"/>
    </row>
    <row r="50" spans="1:6" ht="18.75" hidden="1">
      <c r="A50" s="25" t="s">
        <v>16</v>
      </c>
      <c r="B50" s="26">
        <v>3132</v>
      </c>
      <c r="C50" s="27"/>
      <c r="D50" s="27"/>
      <c r="F50" s="32"/>
    </row>
    <row r="51" spans="1:6" ht="18.75">
      <c r="A51" s="18" t="s">
        <v>13</v>
      </c>
      <c r="B51" s="24"/>
      <c r="C51" s="21">
        <f>C44+C45+C48+C49+C50</f>
        <v>135233.72</v>
      </c>
      <c r="D51" s="21">
        <f>D44+D45+D48+D49+D50</f>
        <v>135233.72</v>
      </c>
      <c r="F51" s="32"/>
    </row>
    <row r="52" spans="1:6" ht="18.75">
      <c r="A52" s="45"/>
      <c r="B52" s="46"/>
      <c r="C52" s="47"/>
      <c r="D52" s="47"/>
      <c r="F52" s="32"/>
    </row>
    <row r="54" spans="1:6" ht="39" customHeight="1">
      <c r="A54" s="58"/>
      <c r="B54" s="59"/>
      <c r="C54" s="59"/>
      <c r="D54" s="59"/>
    </row>
    <row r="55" spans="1:6" ht="41.25" customHeight="1">
      <c r="A55" s="79" t="s">
        <v>61</v>
      </c>
      <c r="B55" s="80"/>
      <c r="C55" s="80"/>
      <c r="D55" s="80"/>
    </row>
    <row r="56" spans="1:6" ht="15.75" customHeight="1">
      <c r="A56" s="60" t="s">
        <v>27</v>
      </c>
      <c r="B56" s="61"/>
      <c r="C56" s="62" t="s">
        <v>28</v>
      </c>
      <c r="D56" s="61"/>
    </row>
    <row r="57" spans="1:6" ht="15.75" customHeight="1">
      <c r="A57" s="42" t="s">
        <v>36</v>
      </c>
      <c r="B57" s="37">
        <v>2210</v>
      </c>
      <c r="C57" s="81">
        <f>450+840+924+1830+1860+280+840</f>
        <v>7024</v>
      </c>
      <c r="D57" s="81"/>
    </row>
    <row r="58" spans="1:6" ht="15.75" hidden="1" customHeight="1">
      <c r="A58" s="42" t="s">
        <v>30</v>
      </c>
      <c r="B58" s="37">
        <v>2210</v>
      </c>
      <c r="C58" s="67"/>
      <c r="D58" s="68"/>
    </row>
    <row r="59" spans="1:6" ht="15.75" hidden="1" customHeight="1">
      <c r="A59" s="42" t="s">
        <v>33</v>
      </c>
      <c r="B59" s="37">
        <v>2210</v>
      </c>
      <c r="C59" s="67"/>
      <c r="D59" s="68"/>
    </row>
    <row r="60" spans="1:6" ht="15.75" customHeight="1">
      <c r="A60" s="42" t="s">
        <v>38</v>
      </c>
      <c r="B60" s="38">
        <v>3110.221</v>
      </c>
      <c r="C60" s="65">
        <v>36091</v>
      </c>
      <c r="D60" s="66"/>
    </row>
    <row r="61" spans="1:6" ht="15.75" hidden="1" customHeight="1">
      <c r="A61" s="42" t="s">
        <v>29</v>
      </c>
      <c r="B61" s="37">
        <v>2210</v>
      </c>
      <c r="C61" s="67"/>
      <c r="D61" s="68"/>
    </row>
    <row r="62" spans="1:6" ht="15.75" hidden="1" customHeight="1">
      <c r="A62" s="42" t="s">
        <v>31</v>
      </c>
      <c r="B62" s="37">
        <v>2210</v>
      </c>
      <c r="C62" s="67"/>
      <c r="D62" s="68"/>
    </row>
    <row r="63" spans="1:6" ht="15.75" hidden="1" customHeight="1">
      <c r="A63" s="42" t="s">
        <v>37</v>
      </c>
      <c r="B63" s="37">
        <v>2210</v>
      </c>
      <c r="C63" s="67"/>
      <c r="D63" s="68"/>
    </row>
    <row r="64" spans="1:6" ht="15.75" customHeight="1">
      <c r="A64" s="42" t="s">
        <v>32</v>
      </c>
      <c r="B64" s="37">
        <v>3110</v>
      </c>
      <c r="C64" s="65">
        <f>25829.65+4329.92</f>
        <v>30159.57</v>
      </c>
      <c r="D64" s="66"/>
    </row>
    <row r="65" spans="1:4" ht="15.75" hidden="1" customHeight="1">
      <c r="A65" s="42" t="s">
        <v>34</v>
      </c>
      <c r="B65" s="37">
        <v>2210</v>
      </c>
      <c r="C65" s="67"/>
      <c r="D65" s="68"/>
    </row>
    <row r="66" spans="1:4" ht="15.75" hidden="1" customHeight="1">
      <c r="A66" s="42" t="s">
        <v>35</v>
      </c>
      <c r="B66" s="37">
        <v>2210</v>
      </c>
      <c r="C66" s="67"/>
      <c r="D66" s="68"/>
    </row>
    <row r="67" spans="1:4" ht="15.75" hidden="1" customHeight="1">
      <c r="A67" s="42" t="s">
        <v>47</v>
      </c>
      <c r="B67" s="37">
        <v>2240</v>
      </c>
      <c r="C67" s="67"/>
      <c r="D67" s="68"/>
    </row>
    <row r="68" spans="1:4" ht="15.75" customHeight="1">
      <c r="A68" s="42" t="s">
        <v>39</v>
      </c>
      <c r="B68" s="37">
        <v>2230</v>
      </c>
      <c r="C68" s="65">
        <v>59649.85</v>
      </c>
      <c r="D68" s="66"/>
    </row>
    <row r="69" spans="1:4" ht="18.75" hidden="1">
      <c r="A69" s="42" t="s">
        <v>40</v>
      </c>
      <c r="B69" s="37">
        <v>2210</v>
      </c>
      <c r="C69" s="67"/>
      <c r="D69" s="68"/>
    </row>
    <row r="70" spans="1:4" ht="18.75">
      <c r="A70" s="42" t="s">
        <v>46</v>
      </c>
      <c r="B70" s="37">
        <v>2210</v>
      </c>
      <c r="C70" s="65">
        <f>983.7+1325.6</f>
        <v>2309.3000000000002</v>
      </c>
      <c r="D70" s="66"/>
    </row>
    <row r="71" spans="1:4" ht="18.75" hidden="1">
      <c r="A71" s="42" t="s">
        <v>44</v>
      </c>
      <c r="B71" s="37">
        <v>2210</v>
      </c>
      <c r="C71" s="65"/>
      <c r="D71" s="66"/>
    </row>
    <row r="72" spans="1:4" ht="18.75" hidden="1">
      <c r="A72" s="42" t="s">
        <v>43</v>
      </c>
      <c r="B72" s="37">
        <v>2210</v>
      </c>
      <c r="C72" s="65"/>
      <c r="D72" s="66"/>
    </row>
    <row r="73" spans="1:4" ht="18.75" hidden="1">
      <c r="A73" s="42" t="s">
        <v>45</v>
      </c>
      <c r="B73" s="43">
        <v>2210</v>
      </c>
      <c r="C73" s="65"/>
      <c r="D73" s="66"/>
    </row>
    <row r="74" spans="1:4" ht="18.75">
      <c r="A74" s="63"/>
      <c r="B74" s="64"/>
      <c r="C74" s="65"/>
      <c r="D74" s="66"/>
    </row>
    <row r="75" spans="1:4" ht="18.75">
      <c r="A75" s="63"/>
      <c r="B75" s="64"/>
      <c r="C75" s="69">
        <f>SUM(C57:D74)</f>
        <v>135233.72</v>
      </c>
      <c r="D75" s="70"/>
    </row>
    <row r="77" spans="1:4" ht="33" customHeight="1">
      <c r="A77" s="58"/>
      <c r="B77" s="59"/>
      <c r="C77" s="59"/>
      <c r="D77" s="59"/>
    </row>
  </sheetData>
  <mergeCells count="31">
    <mergeCell ref="A77:D77"/>
    <mergeCell ref="A54:D54"/>
    <mergeCell ref="C58:D58"/>
    <mergeCell ref="A3:D3"/>
    <mergeCell ref="C57:D57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A2:D2"/>
    <mergeCell ref="A5:D5"/>
    <mergeCell ref="A28:D28"/>
    <mergeCell ref="A41:D41"/>
    <mergeCell ref="A56:B56"/>
    <mergeCell ref="C56:D56"/>
    <mergeCell ref="A55:D55"/>
    <mergeCell ref="C70:D70"/>
    <mergeCell ref="A75:B75"/>
    <mergeCell ref="C75:D75"/>
    <mergeCell ref="C71:D71"/>
    <mergeCell ref="C72:D72"/>
    <mergeCell ref="C73:D73"/>
    <mergeCell ref="A74:B74"/>
    <mergeCell ref="C74:D7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zoomScale="90" zoomScaleNormal="90" workbookViewId="0">
      <selection activeCell="A2" sqref="A2:D2"/>
    </sheetView>
  </sheetViews>
  <sheetFormatPr defaultRowHeight="15"/>
  <cols>
    <col min="1" max="1" width="40.875" style="3" customWidth="1"/>
    <col min="2" max="2" width="8.75" style="1" customWidth="1"/>
    <col min="3" max="3" width="17.5" customWidth="1"/>
    <col min="4" max="4" width="15.25" customWidth="1"/>
    <col min="5" max="5" width="12.125" hidden="1" customWidth="1"/>
    <col min="6" max="6" width="14.25" hidden="1" customWidth="1"/>
    <col min="8" max="8" width="18.25" customWidth="1"/>
  </cols>
  <sheetData>
    <row r="1" spans="1:6" ht="18.75">
      <c r="A1" s="13"/>
      <c r="B1" s="14"/>
      <c r="C1" s="29"/>
      <c r="D1" s="29"/>
    </row>
    <row r="2" spans="1:6" ht="60.75" customHeight="1">
      <c r="A2" s="56" t="s">
        <v>60</v>
      </c>
      <c r="B2" s="57"/>
      <c r="C2" s="57"/>
      <c r="D2" s="57"/>
    </row>
    <row r="3" spans="1:6" ht="76.5" customHeight="1">
      <c r="A3" s="73" t="s">
        <v>53</v>
      </c>
      <c r="B3" s="74"/>
      <c r="C3" s="74"/>
      <c r="D3" s="74"/>
    </row>
    <row r="4" spans="1:6" ht="18.75">
      <c r="A4" s="13"/>
      <c r="B4" s="14"/>
      <c r="C4" s="15"/>
      <c r="D4" s="15"/>
    </row>
    <row r="5" spans="1:6" ht="42.75" customHeight="1">
      <c r="A5" s="75" t="s">
        <v>24</v>
      </c>
      <c r="B5" s="78"/>
      <c r="C5" s="78"/>
      <c r="D5" s="78"/>
    </row>
    <row r="6" spans="1:6" s="2" customFormat="1" ht="73.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7.25" customHeight="1">
      <c r="A7" s="28" t="s">
        <v>22</v>
      </c>
      <c r="B7" s="23">
        <v>2111</v>
      </c>
      <c r="C7" s="31">
        <f>4624618+997480</f>
        <v>5622098</v>
      </c>
      <c r="D7" s="31">
        <f>3457123.16+1066064.06</f>
        <v>4523187.2200000007</v>
      </c>
      <c r="E7" s="4">
        <f>C7-D7</f>
        <v>1098910.7799999993</v>
      </c>
      <c r="F7" s="32">
        <f>C7-D7</f>
        <v>1098910.7799999993</v>
      </c>
    </row>
    <row r="8" spans="1:6" s="2" customFormat="1" ht="15" customHeight="1">
      <c r="A8" s="28" t="s">
        <v>41</v>
      </c>
      <c r="B8" s="23">
        <v>2120</v>
      </c>
      <c r="C8" s="31">
        <f>1050920+281070</f>
        <v>1331990</v>
      </c>
      <c r="D8" s="31">
        <f>254354.92+779767.56</f>
        <v>1034122.4800000001</v>
      </c>
      <c r="E8" s="4">
        <f t="shared" ref="E8:E25" si="0">C8-D8</f>
        <v>297867.5199999999</v>
      </c>
      <c r="F8" s="32">
        <f t="shared" ref="F8:F25" si="1">C8-D8</f>
        <v>297867.5199999999</v>
      </c>
    </row>
    <row r="9" spans="1:6" ht="37.5">
      <c r="A9" s="18" t="s">
        <v>2</v>
      </c>
      <c r="B9" s="24">
        <v>2210</v>
      </c>
      <c r="C9" s="20">
        <f>406315.3+40000+157260-161000-65500-30000</f>
        <v>347075.30000000005</v>
      </c>
      <c r="D9" s="20">
        <f>42131.3+303653.8+1000</f>
        <v>346785.1</v>
      </c>
      <c r="E9" s="4">
        <f t="shared" si="0"/>
        <v>290.20000000006985</v>
      </c>
      <c r="F9" s="32">
        <f t="shared" si="1"/>
        <v>290.20000000006985</v>
      </c>
    </row>
    <row r="10" spans="1:6" ht="18.75">
      <c r="A10" s="18" t="s">
        <v>3</v>
      </c>
      <c r="B10" s="24">
        <v>2230</v>
      </c>
      <c r="C10" s="20">
        <f>1010550+168300-15000-230000-92500-210000-139000-109770</f>
        <v>382580</v>
      </c>
      <c r="D10" s="20">
        <f>198748.09+183831.65</f>
        <v>382579.74</v>
      </c>
      <c r="E10" s="4">
        <f t="shared" si="0"/>
        <v>0.26000000000931323</v>
      </c>
      <c r="F10" s="32">
        <f t="shared" si="1"/>
        <v>0.26000000000931323</v>
      </c>
    </row>
    <row r="11" spans="1:6" ht="18.75">
      <c r="A11" s="18" t="s">
        <v>4</v>
      </c>
      <c r="B11" s="24">
        <v>2240</v>
      </c>
      <c r="C11" s="20">
        <f>130519.2+36000-12000</f>
        <v>154519.20000000001</v>
      </c>
      <c r="D11" s="20">
        <f>152375.72+2059.97</f>
        <v>154435.69</v>
      </c>
      <c r="E11" s="4">
        <f t="shared" si="0"/>
        <v>83.510000000009313</v>
      </c>
      <c r="F11" s="32">
        <f t="shared" si="1"/>
        <v>83.510000000009313</v>
      </c>
    </row>
    <row r="12" spans="1:6" ht="18.75">
      <c r="A12" s="18" t="s">
        <v>5</v>
      </c>
      <c r="B12" s="24">
        <v>2250</v>
      </c>
      <c r="C12" s="20">
        <v>300</v>
      </c>
      <c r="D12" s="20">
        <v>300</v>
      </c>
      <c r="E12" s="4">
        <f t="shared" si="0"/>
        <v>0</v>
      </c>
      <c r="F12" s="32">
        <f t="shared" si="1"/>
        <v>0</v>
      </c>
    </row>
    <row r="13" spans="1:6" ht="18.75" hidden="1">
      <c r="A13" s="18" t="s">
        <v>6</v>
      </c>
      <c r="B13" s="24">
        <v>2271</v>
      </c>
      <c r="C13" s="20"/>
      <c r="D13" s="20"/>
      <c r="E13" s="4">
        <f t="shared" si="0"/>
        <v>0</v>
      </c>
      <c r="F13" s="32">
        <f t="shared" si="1"/>
        <v>0</v>
      </c>
    </row>
    <row r="14" spans="1:6" ht="37.5" hidden="1">
      <c r="A14" s="18" t="s">
        <v>7</v>
      </c>
      <c r="B14" s="24">
        <v>2272</v>
      </c>
      <c r="C14" s="20"/>
      <c r="D14" s="20"/>
      <c r="E14" s="4">
        <f t="shared" si="0"/>
        <v>0</v>
      </c>
      <c r="F14" s="32">
        <f t="shared" si="1"/>
        <v>0</v>
      </c>
    </row>
    <row r="15" spans="1:6" ht="18.75">
      <c r="A15" s="18" t="s">
        <v>8</v>
      </c>
      <c r="B15" s="24">
        <v>2273</v>
      </c>
      <c r="C15" s="20">
        <f>284340+96750-18000-28000-23000-25000</f>
        <v>287090</v>
      </c>
      <c r="D15" s="20">
        <f>84541.17+134866.22</f>
        <v>219407.39</v>
      </c>
      <c r="E15" s="4">
        <f t="shared" si="0"/>
        <v>67682.609999999986</v>
      </c>
      <c r="F15" s="32">
        <f t="shared" si="1"/>
        <v>67682.609999999986</v>
      </c>
    </row>
    <row r="16" spans="1:6" ht="18.75" hidden="1">
      <c r="A16" s="18" t="s">
        <v>9</v>
      </c>
      <c r="B16" s="24">
        <v>2274</v>
      </c>
      <c r="C16" s="20"/>
      <c r="D16" s="20"/>
      <c r="E16" s="4">
        <f t="shared" si="0"/>
        <v>0</v>
      </c>
      <c r="F16" s="32">
        <f t="shared" si="1"/>
        <v>0</v>
      </c>
    </row>
    <row r="17" spans="1:8" ht="18.75">
      <c r="A17" s="18" t="s">
        <v>10</v>
      </c>
      <c r="B17" s="24">
        <v>2275</v>
      </c>
      <c r="C17" s="20">
        <f>1273600+173000-597000</f>
        <v>849600</v>
      </c>
      <c r="D17" s="20">
        <f>172900+676601.56</f>
        <v>849501.56</v>
      </c>
      <c r="E17" s="4">
        <f t="shared" si="0"/>
        <v>98.439999999944121</v>
      </c>
      <c r="F17" s="32">
        <f t="shared" si="1"/>
        <v>98.439999999944121</v>
      </c>
    </row>
    <row r="18" spans="1:8" ht="34.5" customHeight="1">
      <c r="A18" s="18" t="s">
        <v>11</v>
      </c>
      <c r="B18" s="24">
        <v>2282</v>
      </c>
      <c r="C18" s="20">
        <v>2045</v>
      </c>
      <c r="D18" s="20">
        <v>2043.75</v>
      </c>
      <c r="E18" s="4">
        <f t="shared" si="0"/>
        <v>1.25</v>
      </c>
      <c r="F18" s="32">
        <f t="shared" si="1"/>
        <v>1.25</v>
      </c>
    </row>
    <row r="19" spans="1:8" ht="18" hidden="1" customHeight="1">
      <c r="A19" s="18" t="s">
        <v>14</v>
      </c>
      <c r="B19" s="24">
        <v>2730</v>
      </c>
      <c r="C19" s="20"/>
      <c r="D19" s="20"/>
      <c r="E19" s="4">
        <f t="shared" si="0"/>
        <v>0</v>
      </c>
      <c r="F19" s="32">
        <f t="shared" si="1"/>
        <v>0</v>
      </c>
    </row>
    <row r="20" spans="1:8" ht="15.75" customHeight="1">
      <c r="A20" s="18" t="s">
        <v>15</v>
      </c>
      <c r="B20" s="24">
        <v>2800</v>
      </c>
      <c r="C20" s="20">
        <f>17490-140-2800-690-210-220</f>
        <v>13430</v>
      </c>
      <c r="D20" s="20">
        <v>13175.18</v>
      </c>
      <c r="E20" s="4">
        <f t="shared" si="0"/>
        <v>254.81999999999971</v>
      </c>
      <c r="F20" s="32">
        <f t="shared" si="1"/>
        <v>254.81999999999971</v>
      </c>
    </row>
    <row r="21" spans="1:8" ht="36.75" customHeight="1">
      <c r="A21" s="18" t="s">
        <v>12</v>
      </c>
      <c r="B21" s="24">
        <v>3110</v>
      </c>
      <c r="C21" s="20">
        <f>199350+21000</f>
        <v>220350</v>
      </c>
      <c r="D21" s="20">
        <f>199318.83+21000</f>
        <v>220318.83</v>
      </c>
      <c r="E21" s="4">
        <f t="shared" si="0"/>
        <v>31.170000000012806</v>
      </c>
      <c r="F21" s="32">
        <f t="shared" si="1"/>
        <v>31.170000000012806</v>
      </c>
      <c r="H21" s="41"/>
    </row>
    <row r="22" spans="1:8" ht="37.5" hidden="1">
      <c r="A22" s="18" t="s">
        <v>20</v>
      </c>
      <c r="B22" s="24">
        <v>3122</v>
      </c>
      <c r="C22" s="20"/>
      <c r="D22" s="20"/>
      <c r="E22" s="4">
        <f t="shared" si="0"/>
        <v>0</v>
      </c>
      <c r="F22" s="32">
        <f t="shared" si="1"/>
        <v>0</v>
      </c>
    </row>
    <row r="23" spans="1:8" ht="18.75" hidden="1">
      <c r="A23" s="18" t="s">
        <v>21</v>
      </c>
      <c r="B23" s="24">
        <v>3132</v>
      </c>
      <c r="C23" s="20"/>
      <c r="D23" s="20"/>
      <c r="E23" s="4">
        <f t="shared" si="0"/>
        <v>0</v>
      </c>
      <c r="F23" s="32">
        <f t="shared" si="1"/>
        <v>0</v>
      </c>
    </row>
    <row r="24" spans="1:8" ht="37.5" hidden="1">
      <c r="A24" s="36" t="s">
        <v>42</v>
      </c>
      <c r="B24" s="24">
        <v>3142</v>
      </c>
      <c r="C24" s="40"/>
      <c r="D24" s="20"/>
      <c r="E24" s="4">
        <f t="shared" si="0"/>
        <v>0</v>
      </c>
      <c r="F24" s="32">
        <f t="shared" si="1"/>
        <v>0</v>
      </c>
    </row>
    <row r="25" spans="1:8" ht="18.75">
      <c r="A25" s="18" t="s">
        <v>13</v>
      </c>
      <c r="B25" s="24"/>
      <c r="C25" s="21">
        <f>SUM(C7:C24)</f>
        <v>9211077.5</v>
      </c>
      <c r="D25" s="51">
        <f>SUM(D7:D24)</f>
        <v>7745856.9400000013</v>
      </c>
      <c r="E25" s="4">
        <f t="shared" si="0"/>
        <v>1465220.5599999987</v>
      </c>
      <c r="F25" s="32">
        <f t="shared" si="1"/>
        <v>1465220.5599999987</v>
      </c>
    </row>
    <row r="26" spans="1:8">
      <c r="C26" s="4"/>
      <c r="D26" s="4"/>
    </row>
    <row r="27" spans="1:8">
      <c r="C27" s="4"/>
      <c r="D27" s="4"/>
    </row>
    <row r="28" spans="1:8" ht="27" customHeight="1">
      <c r="A28" s="56" t="s">
        <v>25</v>
      </c>
      <c r="B28" s="77"/>
      <c r="C28" s="77"/>
      <c r="D28" s="77"/>
    </row>
    <row r="29" spans="1:8">
      <c r="D29" s="35"/>
    </row>
    <row r="30" spans="1:8" ht="75">
      <c r="A30" s="22" t="s">
        <v>0</v>
      </c>
      <c r="B30" s="22" t="s">
        <v>1</v>
      </c>
      <c r="C30" s="17" t="s">
        <v>23</v>
      </c>
      <c r="D30" s="17" t="s">
        <v>18</v>
      </c>
    </row>
    <row r="31" spans="1:8" ht="37.5">
      <c r="A31" s="42" t="s">
        <v>2</v>
      </c>
      <c r="B31" s="24">
        <v>2210</v>
      </c>
      <c r="C31" s="40">
        <v>6100</v>
      </c>
      <c r="D31" s="40">
        <v>6035.7</v>
      </c>
      <c r="F31" s="32"/>
    </row>
    <row r="32" spans="1:8" ht="18.75">
      <c r="A32" s="19" t="s">
        <v>3</v>
      </c>
      <c r="B32" s="24">
        <v>2230</v>
      </c>
      <c r="C32" s="40">
        <v>57735.92</v>
      </c>
      <c r="D32" s="40">
        <v>55891.01</v>
      </c>
      <c r="F32" s="32"/>
    </row>
    <row r="33" spans="1:6" ht="18.75" hidden="1">
      <c r="A33" s="19" t="s">
        <v>4</v>
      </c>
      <c r="B33" s="24">
        <v>2240</v>
      </c>
      <c r="C33" s="40"/>
      <c r="D33" s="20"/>
      <c r="F33" s="32"/>
    </row>
    <row r="34" spans="1:6" ht="18.75" hidden="1">
      <c r="A34" s="19" t="s">
        <v>10</v>
      </c>
      <c r="B34" s="24">
        <v>2275</v>
      </c>
      <c r="C34" s="20"/>
      <c r="D34" s="20"/>
      <c r="F34" s="32"/>
    </row>
    <row r="35" spans="1:6" ht="18.75" hidden="1">
      <c r="A35" s="42" t="s">
        <v>15</v>
      </c>
      <c r="B35" s="24">
        <v>2800</v>
      </c>
      <c r="C35" s="20"/>
      <c r="D35" s="20"/>
      <c r="F35" s="32"/>
    </row>
    <row r="36" spans="1:6" ht="37.5" hidden="1">
      <c r="A36" s="42" t="s">
        <v>12</v>
      </c>
      <c r="B36" s="24">
        <v>3110</v>
      </c>
      <c r="C36" s="20"/>
      <c r="D36" s="20"/>
      <c r="F36" s="32"/>
    </row>
    <row r="37" spans="1:6" ht="18.75" hidden="1">
      <c r="A37" s="25" t="s">
        <v>16</v>
      </c>
      <c r="B37" s="26">
        <v>3132</v>
      </c>
      <c r="C37" s="27"/>
      <c r="D37" s="27"/>
      <c r="F37" s="32"/>
    </row>
    <row r="38" spans="1:6" ht="18.75">
      <c r="A38" s="18" t="s">
        <v>13</v>
      </c>
      <c r="B38" s="24"/>
      <c r="C38" s="21">
        <f>SUM(C31:C37)</f>
        <v>63835.92</v>
      </c>
      <c r="D38" s="21">
        <f>SUM(D31:D37)</f>
        <v>61926.71</v>
      </c>
      <c r="F38" s="32"/>
    </row>
    <row r="39" spans="1:6">
      <c r="A39" s="1"/>
      <c r="B39" s="10"/>
      <c r="C39" s="4"/>
      <c r="D39" s="4"/>
    </row>
    <row r="40" spans="1:6">
      <c r="A40" s="1"/>
      <c r="B40" s="10"/>
      <c r="C40" s="4"/>
      <c r="D40" s="4"/>
    </row>
    <row r="41" spans="1:6" ht="33.75" customHeight="1">
      <c r="A41" s="58" t="s">
        <v>26</v>
      </c>
      <c r="B41" s="59"/>
      <c r="C41" s="59"/>
      <c r="D41" s="59"/>
    </row>
    <row r="42" spans="1:6">
      <c r="A42" s="1"/>
      <c r="B42" s="10"/>
      <c r="C42" s="4"/>
      <c r="D42" s="4"/>
    </row>
    <row r="43" spans="1:6" ht="75">
      <c r="A43" s="22" t="s">
        <v>0</v>
      </c>
      <c r="B43" s="22" t="s">
        <v>1</v>
      </c>
      <c r="C43" s="17" t="s">
        <v>23</v>
      </c>
      <c r="D43" s="17" t="s">
        <v>18</v>
      </c>
    </row>
    <row r="44" spans="1:6" ht="37.5">
      <c r="A44" s="18" t="s">
        <v>2</v>
      </c>
      <c r="B44" s="24">
        <v>2210</v>
      </c>
      <c r="C44" s="40">
        <v>6846.47</v>
      </c>
      <c r="D44" s="40">
        <v>6846.47</v>
      </c>
      <c r="F44" s="32"/>
    </row>
    <row r="45" spans="1:6" ht="18.75">
      <c r="A45" s="19" t="s">
        <v>3</v>
      </c>
      <c r="B45" s="24">
        <v>2230</v>
      </c>
      <c r="C45" s="40">
        <v>84375.03</v>
      </c>
      <c r="D45" s="40">
        <v>84375.03</v>
      </c>
      <c r="F45" s="32"/>
    </row>
    <row r="46" spans="1:6" ht="18.75" hidden="1">
      <c r="A46" s="19" t="s">
        <v>4</v>
      </c>
      <c r="B46" s="24">
        <v>2240</v>
      </c>
      <c r="C46" s="40"/>
      <c r="D46" s="40"/>
      <c r="F46" s="32"/>
    </row>
    <row r="47" spans="1:6" ht="18.75" hidden="1">
      <c r="A47" s="19" t="s">
        <v>10</v>
      </c>
      <c r="B47" s="24">
        <v>2275</v>
      </c>
      <c r="C47" s="40"/>
      <c r="D47" s="40"/>
      <c r="F47" s="32"/>
    </row>
    <row r="48" spans="1:6" ht="18.75" hidden="1">
      <c r="A48" s="18" t="s">
        <v>15</v>
      </c>
      <c r="B48" s="24">
        <v>2800</v>
      </c>
      <c r="C48" s="40"/>
      <c r="D48" s="40"/>
      <c r="F48" s="32"/>
    </row>
    <row r="49" spans="1:6" ht="37.5">
      <c r="A49" s="18" t="s">
        <v>12</v>
      </c>
      <c r="B49" s="24">
        <v>3110</v>
      </c>
      <c r="C49" s="40">
        <v>56762.01</v>
      </c>
      <c r="D49" s="40">
        <v>56762.01</v>
      </c>
      <c r="F49" s="32"/>
    </row>
    <row r="50" spans="1:6" ht="18.75" hidden="1">
      <c r="A50" s="25" t="s">
        <v>16</v>
      </c>
      <c r="B50" s="26">
        <v>3132</v>
      </c>
      <c r="C50" s="27"/>
      <c r="D50" s="27"/>
      <c r="F50" s="32"/>
    </row>
    <row r="51" spans="1:6" ht="18.75">
      <c r="A51" s="18" t="s">
        <v>13</v>
      </c>
      <c r="B51" s="24"/>
      <c r="C51" s="21">
        <f>C44+C45+C48+C49+C50</f>
        <v>147983.51</v>
      </c>
      <c r="D51" s="21">
        <f>D44+D45+D48+D49+D50</f>
        <v>147983.51</v>
      </c>
      <c r="F51" s="32"/>
    </row>
    <row r="54" spans="1:6" ht="35.25" customHeight="1">
      <c r="A54" s="58"/>
      <c r="B54" s="59"/>
      <c r="C54" s="59"/>
      <c r="D54" s="59"/>
    </row>
    <row r="55" spans="1:6" ht="54" customHeight="1">
      <c r="A55" s="79" t="s">
        <v>61</v>
      </c>
      <c r="B55" s="80"/>
      <c r="C55" s="80"/>
      <c r="D55" s="80"/>
    </row>
    <row r="56" spans="1:6" ht="18.75">
      <c r="A56" s="60" t="s">
        <v>27</v>
      </c>
      <c r="B56" s="61"/>
      <c r="C56" s="62" t="s">
        <v>28</v>
      </c>
      <c r="D56" s="61"/>
    </row>
    <row r="57" spans="1:6" ht="18.75">
      <c r="A57" s="42" t="s">
        <v>36</v>
      </c>
      <c r="B57" s="37">
        <v>2210</v>
      </c>
      <c r="C57" s="81">
        <f>464+1232+4032</f>
        <v>5728</v>
      </c>
      <c r="D57" s="81"/>
    </row>
    <row r="58" spans="1:6" ht="18.75" hidden="1">
      <c r="A58" s="42" t="s">
        <v>30</v>
      </c>
      <c r="B58" s="37">
        <v>2210</v>
      </c>
      <c r="C58" s="67"/>
      <c r="D58" s="68"/>
    </row>
    <row r="59" spans="1:6" ht="18.75" hidden="1">
      <c r="A59" s="42" t="s">
        <v>33</v>
      </c>
      <c r="B59" s="37">
        <v>2210</v>
      </c>
      <c r="C59" s="67"/>
      <c r="D59" s="68"/>
    </row>
    <row r="60" spans="1:6" ht="18.75">
      <c r="A60" s="42" t="s">
        <v>38</v>
      </c>
      <c r="B60" s="38">
        <v>3110.221</v>
      </c>
      <c r="C60" s="65">
        <v>36090.839999999997</v>
      </c>
      <c r="D60" s="66"/>
    </row>
    <row r="61" spans="1:6" ht="18.75" hidden="1">
      <c r="A61" s="42" t="s">
        <v>29</v>
      </c>
      <c r="B61" s="37">
        <v>2210</v>
      </c>
      <c r="C61" s="67"/>
      <c r="D61" s="68"/>
    </row>
    <row r="62" spans="1:6" ht="18.75" hidden="1">
      <c r="A62" s="42" t="s">
        <v>31</v>
      </c>
      <c r="B62" s="37">
        <v>2210</v>
      </c>
      <c r="C62" s="67"/>
      <c r="D62" s="68"/>
    </row>
    <row r="63" spans="1:6" ht="18.75" hidden="1">
      <c r="A63" s="42" t="s">
        <v>37</v>
      </c>
      <c r="B63" s="37">
        <v>2210</v>
      </c>
      <c r="C63" s="67"/>
      <c r="D63" s="68"/>
    </row>
    <row r="64" spans="1:6" ht="18.75">
      <c r="A64" s="42" t="s">
        <v>32</v>
      </c>
      <c r="B64" s="37">
        <v>3110</v>
      </c>
      <c r="C64" s="65">
        <f>16776.46+3894.71</f>
        <v>20671.169999999998</v>
      </c>
      <c r="D64" s="66"/>
    </row>
    <row r="65" spans="1:4" ht="18.75" hidden="1">
      <c r="A65" s="42" t="s">
        <v>34</v>
      </c>
      <c r="B65" s="37">
        <v>2210</v>
      </c>
      <c r="C65" s="67"/>
      <c r="D65" s="68"/>
    </row>
    <row r="66" spans="1:4" ht="18.75" hidden="1">
      <c r="A66" s="42" t="s">
        <v>35</v>
      </c>
      <c r="B66" s="37">
        <v>2210</v>
      </c>
      <c r="C66" s="67"/>
      <c r="D66" s="68"/>
    </row>
    <row r="67" spans="1:4" ht="18.75" hidden="1">
      <c r="A67" s="42" t="s">
        <v>47</v>
      </c>
      <c r="B67" s="37">
        <v>2240</v>
      </c>
      <c r="C67" s="67"/>
      <c r="D67" s="68"/>
    </row>
    <row r="68" spans="1:4" ht="18.75">
      <c r="A68" s="42" t="s">
        <v>39</v>
      </c>
      <c r="B68" s="37">
        <v>2230</v>
      </c>
      <c r="C68" s="65">
        <v>84375.03</v>
      </c>
      <c r="D68" s="66"/>
    </row>
    <row r="69" spans="1:4" ht="18.75" hidden="1">
      <c r="A69" s="42" t="s">
        <v>40</v>
      </c>
      <c r="B69" s="37">
        <v>2210</v>
      </c>
      <c r="C69" s="67"/>
      <c r="D69" s="68"/>
    </row>
    <row r="70" spans="1:4" ht="18.75">
      <c r="A70" s="42" t="s">
        <v>46</v>
      </c>
      <c r="B70" s="37">
        <v>2210</v>
      </c>
      <c r="C70" s="65">
        <f>491.85+626.62</f>
        <v>1118.47</v>
      </c>
      <c r="D70" s="66"/>
    </row>
    <row r="71" spans="1:4" ht="18.75" hidden="1">
      <c r="A71" s="42" t="s">
        <v>44</v>
      </c>
      <c r="B71" s="37">
        <v>2210</v>
      </c>
      <c r="C71" s="65"/>
      <c r="D71" s="66"/>
    </row>
    <row r="72" spans="1:4" ht="18.75" hidden="1">
      <c r="A72" s="42" t="s">
        <v>43</v>
      </c>
      <c r="B72" s="37">
        <v>2210</v>
      </c>
      <c r="C72" s="65"/>
      <c r="D72" s="66"/>
    </row>
    <row r="73" spans="1:4" ht="18.75" hidden="1">
      <c r="A73" s="42" t="s">
        <v>45</v>
      </c>
      <c r="B73" s="43">
        <v>2210</v>
      </c>
      <c r="C73" s="65"/>
      <c r="D73" s="66"/>
    </row>
    <row r="74" spans="1:4" ht="18.75">
      <c r="A74" s="63"/>
      <c r="B74" s="64"/>
      <c r="C74" s="65"/>
      <c r="D74" s="66"/>
    </row>
    <row r="75" spans="1:4" ht="18.75">
      <c r="A75" s="63"/>
      <c r="B75" s="64"/>
      <c r="C75" s="69">
        <f>SUM(C57:D74)</f>
        <v>147983.50999999998</v>
      </c>
      <c r="D75" s="70"/>
    </row>
  </sheetData>
  <mergeCells count="30">
    <mergeCell ref="C59:D59"/>
    <mergeCell ref="C60:D60"/>
    <mergeCell ref="C61:D61"/>
    <mergeCell ref="A3:D3"/>
    <mergeCell ref="C57:D57"/>
    <mergeCell ref="C58:D58"/>
    <mergeCell ref="A2:D2"/>
    <mergeCell ref="A5:D5"/>
    <mergeCell ref="A28:D28"/>
    <mergeCell ref="A41:D41"/>
    <mergeCell ref="A56:B56"/>
    <mergeCell ref="C56:D56"/>
    <mergeCell ref="A54:D54"/>
    <mergeCell ref="A55:D55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A74:B74"/>
    <mergeCell ref="C74:D74"/>
    <mergeCell ref="A75:B75"/>
    <mergeCell ref="C75:D75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76"/>
  <sheetViews>
    <sheetView workbookViewId="0">
      <selection activeCell="A2" sqref="A2:D2"/>
    </sheetView>
  </sheetViews>
  <sheetFormatPr defaultRowHeight="15"/>
  <cols>
    <col min="1" max="1" width="40.875" style="3" customWidth="1"/>
    <col min="2" max="2" width="9" style="1" customWidth="1"/>
    <col min="3" max="3" width="18.125" customWidth="1"/>
    <col min="4" max="4" width="14.75" customWidth="1"/>
    <col min="5" max="5" width="10.375" hidden="1" customWidth="1"/>
    <col min="6" max="6" width="11.875" hidden="1" customWidth="1"/>
  </cols>
  <sheetData>
    <row r="2" spans="1:6" ht="57.75" customHeight="1">
      <c r="A2" s="56" t="s">
        <v>60</v>
      </c>
      <c r="B2" s="57"/>
      <c r="C2" s="57"/>
      <c r="D2" s="57"/>
    </row>
    <row r="3" spans="1:6" ht="38.25" customHeight="1">
      <c r="A3" s="73" t="s">
        <v>54</v>
      </c>
      <c r="B3" s="74"/>
      <c r="C3" s="74"/>
      <c r="D3" s="74"/>
    </row>
    <row r="4" spans="1:6" ht="18.75">
      <c r="A4" s="13"/>
      <c r="B4" s="14"/>
      <c r="C4" s="15"/>
      <c r="D4" s="15"/>
    </row>
    <row r="5" spans="1:6" ht="42" customHeight="1">
      <c r="A5" s="75" t="s">
        <v>24</v>
      </c>
      <c r="B5" s="78"/>
      <c r="C5" s="78"/>
      <c r="D5" s="78"/>
    </row>
    <row r="6" spans="1:6" s="2" customFormat="1" ht="73.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1">
        <f>2654680+9010</f>
        <v>2663690</v>
      </c>
      <c r="D7" s="31">
        <f>2625277.47+12695.97</f>
        <v>2637973.4400000004</v>
      </c>
      <c r="E7" s="4">
        <f>C7-D7</f>
        <v>25716.55999999959</v>
      </c>
      <c r="F7" s="32">
        <f>C7-D7</f>
        <v>25716.55999999959</v>
      </c>
    </row>
    <row r="8" spans="1:6" s="2" customFormat="1" ht="18.75">
      <c r="A8" s="28" t="s">
        <v>41</v>
      </c>
      <c r="B8" s="23">
        <v>2120</v>
      </c>
      <c r="C8" s="31">
        <f>584030+2000+3000</f>
        <v>589030</v>
      </c>
      <c r="D8" s="31">
        <f>2793.12+585854.58</f>
        <v>588647.69999999995</v>
      </c>
      <c r="E8" s="4">
        <f t="shared" ref="E8:E25" si="0">C8-D8</f>
        <v>382.30000000004657</v>
      </c>
      <c r="F8" s="32">
        <f t="shared" ref="F8:F25" si="1">C8-D8</f>
        <v>382.30000000004657</v>
      </c>
    </row>
    <row r="9" spans="1:6" ht="37.5">
      <c r="A9" s="18" t="s">
        <v>2</v>
      </c>
      <c r="B9" s="24">
        <v>2210</v>
      </c>
      <c r="C9" s="50">
        <f>54317.8+65500</f>
        <v>119817.8</v>
      </c>
      <c r="D9" s="20">
        <f>25802.9+93764</f>
        <v>119566.9</v>
      </c>
      <c r="E9" s="4">
        <f t="shared" si="0"/>
        <v>250.90000000000873</v>
      </c>
      <c r="F9" s="32">
        <f t="shared" si="1"/>
        <v>250.90000000000873</v>
      </c>
    </row>
    <row r="10" spans="1:6" ht="18.75">
      <c r="A10" s="18" t="s">
        <v>3</v>
      </c>
      <c r="B10" s="24">
        <v>2230</v>
      </c>
      <c r="C10" s="20">
        <f>45360+92500</f>
        <v>137860</v>
      </c>
      <c r="D10" s="20">
        <v>137435.5</v>
      </c>
      <c r="E10" s="4">
        <f t="shared" si="0"/>
        <v>424.5</v>
      </c>
      <c r="F10" s="32">
        <f t="shared" si="1"/>
        <v>424.5</v>
      </c>
    </row>
    <row r="11" spans="1:6" ht="18.75">
      <c r="A11" s="18" t="s">
        <v>4</v>
      </c>
      <c r="B11" s="24">
        <v>2240</v>
      </c>
      <c r="C11" s="20">
        <f>112446+12000+100+350</f>
        <v>124896</v>
      </c>
      <c r="D11" s="20">
        <v>124884.12</v>
      </c>
      <c r="E11" s="4">
        <f t="shared" si="0"/>
        <v>11.880000000004657</v>
      </c>
      <c r="F11" s="32">
        <f t="shared" si="1"/>
        <v>11.880000000004657</v>
      </c>
    </row>
    <row r="12" spans="1:6" ht="18.75">
      <c r="A12" s="18" t="s">
        <v>5</v>
      </c>
      <c r="B12" s="24">
        <v>2250</v>
      </c>
      <c r="C12" s="20">
        <v>1208.9000000000001</v>
      </c>
      <c r="D12" s="20">
        <v>1208.9000000000001</v>
      </c>
      <c r="E12" s="4">
        <f t="shared" si="0"/>
        <v>0</v>
      </c>
      <c r="F12" s="32">
        <f t="shared" si="1"/>
        <v>0</v>
      </c>
    </row>
    <row r="13" spans="1:6" ht="18.75" hidden="1">
      <c r="A13" s="18" t="s">
        <v>6</v>
      </c>
      <c r="B13" s="24">
        <v>2271</v>
      </c>
      <c r="C13" s="20"/>
      <c r="D13" s="20"/>
      <c r="E13" s="4">
        <f t="shared" si="0"/>
        <v>0</v>
      </c>
      <c r="F13" s="32">
        <f t="shared" si="1"/>
        <v>0</v>
      </c>
    </row>
    <row r="14" spans="1:6" ht="37.5" hidden="1">
      <c r="A14" s="18" t="s">
        <v>7</v>
      </c>
      <c r="B14" s="24">
        <v>2272</v>
      </c>
      <c r="C14" s="20"/>
      <c r="D14" s="20"/>
      <c r="E14" s="4">
        <f t="shared" si="0"/>
        <v>0</v>
      </c>
      <c r="F14" s="32">
        <f t="shared" si="1"/>
        <v>0</v>
      </c>
    </row>
    <row r="15" spans="1:6" ht="18.75">
      <c r="A15" s="18" t="s">
        <v>8</v>
      </c>
      <c r="B15" s="24">
        <v>2273</v>
      </c>
      <c r="C15" s="20">
        <f>43770+23000</f>
        <v>66770</v>
      </c>
      <c r="D15" s="20">
        <v>66238.84</v>
      </c>
      <c r="E15" s="4">
        <f t="shared" si="0"/>
        <v>531.16000000000349</v>
      </c>
      <c r="F15" s="32">
        <f t="shared" si="1"/>
        <v>531.16000000000349</v>
      </c>
    </row>
    <row r="16" spans="1:6" ht="18.75" hidden="1">
      <c r="A16" s="18" t="s">
        <v>9</v>
      </c>
      <c r="B16" s="24">
        <v>2274</v>
      </c>
      <c r="C16" s="20"/>
      <c r="D16" s="20"/>
      <c r="E16" s="4">
        <f t="shared" si="0"/>
        <v>0</v>
      </c>
      <c r="F16" s="32">
        <f t="shared" si="1"/>
        <v>0</v>
      </c>
    </row>
    <row r="17" spans="1:8" ht="18.75">
      <c r="A17" s="18" t="s">
        <v>10</v>
      </c>
      <c r="B17" s="24">
        <v>2275</v>
      </c>
      <c r="C17" s="20">
        <f>700000-142000</f>
        <v>558000</v>
      </c>
      <c r="D17" s="20">
        <v>551006</v>
      </c>
      <c r="E17" s="4">
        <f t="shared" si="0"/>
        <v>6994</v>
      </c>
      <c r="F17" s="32">
        <f t="shared" si="1"/>
        <v>6994</v>
      </c>
    </row>
    <row r="18" spans="1:8" ht="33" customHeight="1">
      <c r="A18" s="18" t="s">
        <v>11</v>
      </c>
      <c r="B18" s="24">
        <v>2282</v>
      </c>
      <c r="C18" s="20">
        <v>2045</v>
      </c>
      <c r="D18" s="20">
        <v>2043.7</v>
      </c>
      <c r="E18" s="4">
        <f t="shared" si="0"/>
        <v>1.2999999999999545</v>
      </c>
      <c r="F18" s="32">
        <f t="shared" si="1"/>
        <v>1.2999999999999545</v>
      </c>
    </row>
    <row r="19" spans="1:8" ht="18" hidden="1" customHeight="1">
      <c r="A19" s="18" t="s">
        <v>14</v>
      </c>
      <c r="B19" s="24">
        <v>2730</v>
      </c>
      <c r="C19" s="20"/>
      <c r="D19" s="20"/>
      <c r="E19" s="4">
        <f t="shared" si="0"/>
        <v>0</v>
      </c>
      <c r="F19" s="32">
        <f t="shared" si="1"/>
        <v>0</v>
      </c>
    </row>
    <row r="20" spans="1:8" ht="15.75" customHeight="1">
      <c r="A20" s="18" t="s">
        <v>15</v>
      </c>
      <c r="B20" s="24">
        <v>2800</v>
      </c>
      <c r="C20" s="20">
        <f>5370+690</f>
        <v>6060</v>
      </c>
      <c r="D20" s="20">
        <v>6052.79</v>
      </c>
      <c r="E20" s="4">
        <f t="shared" si="0"/>
        <v>7.2100000000000364</v>
      </c>
      <c r="F20" s="32">
        <f t="shared" si="1"/>
        <v>7.2100000000000364</v>
      </c>
    </row>
    <row r="21" spans="1:8" ht="35.25" customHeight="1">
      <c r="A21" s="18" t="s">
        <v>12</v>
      </c>
      <c r="B21" s="24">
        <v>3110</v>
      </c>
      <c r="C21" s="20">
        <f>19400+15400</f>
        <v>34800</v>
      </c>
      <c r="D21" s="20">
        <f>19375.83+15400</f>
        <v>34775.83</v>
      </c>
      <c r="E21" s="4">
        <f t="shared" si="0"/>
        <v>24.169999999998254</v>
      </c>
      <c r="F21" s="32">
        <f t="shared" si="1"/>
        <v>24.169999999998254</v>
      </c>
      <c r="H21" s="41"/>
    </row>
    <row r="22" spans="1:8" ht="37.5" hidden="1">
      <c r="A22" s="18" t="s">
        <v>20</v>
      </c>
      <c r="B22" s="24">
        <v>3122</v>
      </c>
      <c r="C22" s="20"/>
      <c r="D22" s="20"/>
      <c r="E22" s="4">
        <f t="shared" si="0"/>
        <v>0</v>
      </c>
      <c r="F22" s="32">
        <f t="shared" si="1"/>
        <v>0</v>
      </c>
    </row>
    <row r="23" spans="1:8" ht="18.75" hidden="1">
      <c r="A23" s="18" t="s">
        <v>21</v>
      </c>
      <c r="B23" s="24">
        <v>3132</v>
      </c>
      <c r="C23" s="20"/>
      <c r="D23" s="20"/>
      <c r="E23" s="4">
        <f t="shared" si="0"/>
        <v>0</v>
      </c>
      <c r="F23" s="32">
        <f t="shared" si="1"/>
        <v>0</v>
      </c>
    </row>
    <row r="24" spans="1:8" ht="37.5" hidden="1">
      <c r="A24" s="36" t="s">
        <v>42</v>
      </c>
      <c r="B24" s="24">
        <v>3142</v>
      </c>
      <c r="C24" s="20"/>
      <c r="D24" s="20"/>
      <c r="E24" s="4">
        <f t="shared" si="0"/>
        <v>0</v>
      </c>
      <c r="F24" s="32">
        <f t="shared" si="1"/>
        <v>0</v>
      </c>
    </row>
    <row r="25" spans="1:8" ht="18.75">
      <c r="A25" s="18" t="s">
        <v>13</v>
      </c>
      <c r="B25" s="24"/>
      <c r="C25" s="21">
        <f>SUM(C7:C24)</f>
        <v>4304177.6999999993</v>
      </c>
      <c r="D25" s="49">
        <f>SUM(D7:D24)</f>
        <v>4269833.7200000007</v>
      </c>
      <c r="E25" s="4">
        <f t="shared" si="0"/>
        <v>34343.979999998584</v>
      </c>
      <c r="F25" s="32">
        <f t="shared" si="1"/>
        <v>34343.979999998584</v>
      </c>
    </row>
    <row r="26" spans="1:8">
      <c r="C26" s="4"/>
      <c r="D26" s="4"/>
      <c r="F26" s="32"/>
    </row>
    <row r="27" spans="1:8">
      <c r="C27" s="4"/>
      <c r="D27" s="4"/>
      <c r="F27" s="32"/>
    </row>
    <row r="28" spans="1:8" ht="30" hidden="1" customHeight="1">
      <c r="A28" s="56" t="s">
        <v>25</v>
      </c>
      <c r="B28" s="77"/>
      <c r="C28" s="77"/>
      <c r="D28" s="77"/>
    </row>
    <row r="29" spans="1:8" hidden="1"/>
    <row r="30" spans="1:8" ht="75" hidden="1">
      <c r="A30" s="22" t="s">
        <v>0</v>
      </c>
      <c r="B30" s="22" t="s">
        <v>1</v>
      </c>
      <c r="C30" s="17" t="s">
        <v>23</v>
      </c>
      <c r="D30" s="17" t="s">
        <v>18</v>
      </c>
    </row>
    <row r="31" spans="1:8" ht="37.5" hidden="1">
      <c r="A31" s="18" t="s">
        <v>2</v>
      </c>
      <c r="B31" s="24">
        <v>2210</v>
      </c>
      <c r="C31" s="20"/>
      <c r="D31" s="20">
        <v>8856.44</v>
      </c>
      <c r="F31" s="32"/>
    </row>
    <row r="32" spans="1:8" ht="18.75" hidden="1">
      <c r="A32" s="19" t="s">
        <v>3</v>
      </c>
      <c r="B32" s="24">
        <v>2230</v>
      </c>
      <c r="C32" s="20"/>
      <c r="D32" s="20"/>
      <c r="F32" s="32"/>
    </row>
    <row r="33" spans="1:6" ht="18.75" hidden="1">
      <c r="A33" s="19" t="s">
        <v>4</v>
      </c>
      <c r="B33" s="24">
        <v>2240</v>
      </c>
      <c r="C33" s="20"/>
      <c r="D33" s="20"/>
      <c r="F33" s="32"/>
    </row>
    <row r="34" spans="1:6" ht="18.75" hidden="1">
      <c r="A34" s="19" t="s">
        <v>10</v>
      </c>
      <c r="B34" s="24">
        <v>2275</v>
      </c>
      <c r="C34" s="20"/>
      <c r="D34" s="20"/>
      <c r="F34" s="32"/>
    </row>
    <row r="35" spans="1:6" ht="18.75" hidden="1">
      <c r="A35" s="18" t="s">
        <v>15</v>
      </c>
      <c r="B35" s="24">
        <v>2800</v>
      </c>
      <c r="C35" s="20"/>
      <c r="D35" s="20"/>
      <c r="F35" s="32"/>
    </row>
    <row r="36" spans="1:6" ht="37.5" hidden="1">
      <c r="A36" s="18" t="s">
        <v>12</v>
      </c>
      <c r="B36" s="24">
        <v>3110</v>
      </c>
      <c r="C36" s="20"/>
      <c r="D36" s="20"/>
      <c r="F36" s="32"/>
    </row>
    <row r="37" spans="1:6" ht="18.75" hidden="1">
      <c r="A37" s="25" t="s">
        <v>16</v>
      </c>
      <c r="B37" s="26">
        <v>3132</v>
      </c>
      <c r="C37" s="27"/>
      <c r="D37" s="27"/>
      <c r="F37" s="32"/>
    </row>
    <row r="38" spans="1:6" ht="18.75" hidden="1">
      <c r="A38" s="18" t="s">
        <v>13</v>
      </c>
      <c r="B38" s="24"/>
      <c r="C38" s="21">
        <f>SUM(C31:C37)</f>
        <v>0</v>
      </c>
      <c r="D38" s="21">
        <f>SUM(D31:D37)</f>
        <v>8856.44</v>
      </c>
      <c r="F38" s="32"/>
    </row>
    <row r="39" spans="1:6">
      <c r="A39" s="1"/>
      <c r="B39" s="10"/>
      <c r="C39" s="4"/>
      <c r="D39" s="4"/>
    </row>
    <row r="40" spans="1:6">
      <c r="A40" s="1"/>
      <c r="B40" s="10"/>
      <c r="C40" s="4"/>
      <c r="D40" s="4"/>
    </row>
    <row r="41" spans="1:6" ht="34.5" customHeight="1">
      <c r="A41" s="58" t="s">
        <v>26</v>
      </c>
      <c r="B41" s="59"/>
      <c r="C41" s="59"/>
      <c r="D41" s="59"/>
    </row>
    <row r="42" spans="1:6">
      <c r="A42" s="1"/>
      <c r="B42" s="10"/>
      <c r="C42" s="4"/>
      <c r="D42" s="4"/>
    </row>
    <row r="43" spans="1:6" ht="75">
      <c r="A43" s="22" t="s">
        <v>0</v>
      </c>
      <c r="B43" s="22" t="s">
        <v>1</v>
      </c>
      <c r="C43" s="17" t="s">
        <v>23</v>
      </c>
      <c r="D43" s="17" t="s">
        <v>18</v>
      </c>
    </row>
    <row r="44" spans="1:6" ht="37.5">
      <c r="A44" s="18" t="s">
        <v>2</v>
      </c>
      <c r="B44" s="24">
        <v>2210</v>
      </c>
      <c r="C44" s="40">
        <v>2120.29</v>
      </c>
      <c r="D44" s="40">
        <v>2120.29</v>
      </c>
      <c r="F44" s="32"/>
    </row>
    <row r="45" spans="1:6" ht="18.75">
      <c r="A45" s="19" t="s">
        <v>3</v>
      </c>
      <c r="B45" s="24">
        <v>2230</v>
      </c>
      <c r="C45" s="40">
        <v>25088.03</v>
      </c>
      <c r="D45" s="40">
        <v>25088.03</v>
      </c>
      <c r="F45" s="32"/>
    </row>
    <row r="46" spans="1:6" ht="18.75" hidden="1">
      <c r="A46" s="19" t="s">
        <v>4</v>
      </c>
      <c r="B46" s="24">
        <v>2240</v>
      </c>
      <c r="C46" s="20"/>
      <c r="D46" s="20"/>
      <c r="F46" s="32"/>
    </row>
    <row r="47" spans="1:6" ht="18.75" hidden="1">
      <c r="A47" s="19" t="s">
        <v>10</v>
      </c>
      <c r="B47" s="24">
        <v>2275</v>
      </c>
      <c r="C47" s="20"/>
      <c r="D47" s="20"/>
      <c r="F47" s="32"/>
    </row>
    <row r="48" spans="1:6" ht="18.75" hidden="1">
      <c r="A48" s="18" t="s">
        <v>15</v>
      </c>
      <c r="B48" s="24">
        <v>2800</v>
      </c>
      <c r="C48" s="20"/>
      <c r="D48" s="20"/>
      <c r="F48" s="32"/>
    </row>
    <row r="49" spans="1:6" ht="37.5">
      <c r="A49" s="18" t="s">
        <v>12</v>
      </c>
      <c r="B49" s="24">
        <v>3110</v>
      </c>
      <c r="C49" s="40">
        <v>56320.1</v>
      </c>
      <c r="D49" s="40">
        <v>56320.1</v>
      </c>
      <c r="F49" s="32"/>
    </row>
    <row r="50" spans="1:6" ht="18.75" hidden="1">
      <c r="A50" s="25" t="s">
        <v>16</v>
      </c>
      <c r="B50" s="26">
        <v>3132</v>
      </c>
      <c r="C50" s="27"/>
      <c r="D50" s="27"/>
      <c r="F50" s="32"/>
    </row>
    <row r="51" spans="1:6" ht="18.75">
      <c r="A51" s="18" t="s">
        <v>13</v>
      </c>
      <c r="B51" s="24"/>
      <c r="C51" s="21">
        <f>C44+C45+C48+C49+C50</f>
        <v>83528.42</v>
      </c>
      <c r="D51" s="21">
        <f>D44+D45+D48+D49+D50</f>
        <v>83528.42</v>
      </c>
      <c r="F51" s="32"/>
    </row>
    <row r="52" spans="1:6" ht="18.75">
      <c r="A52" s="45"/>
      <c r="B52" s="46"/>
      <c r="C52" s="47"/>
      <c r="D52" s="47"/>
      <c r="F52" s="32"/>
    </row>
    <row r="53" spans="1:6" ht="18.75">
      <c r="A53" s="45"/>
      <c r="B53" s="46"/>
      <c r="C53" s="47"/>
      <c r="D53" s="47"/>
      <c r="F53" s="32"/>
    </row>
    <row r="55" spans="1:6" ht="32.25" customHeight="1">
      <c r="A55" s="58" t="s">
        <v>61</v>
      </c>
      <c r="B55" s="59"/>
      <c r="C55" s="59"/>
      <c r="D55" s="59"/>
    </row>
    <row r="57" spans="1:6" ht="18.75">
      <c r="A57" s="60" t="s">
        <v>27</v>
      </c>
      <c r="B57" s="61"/>
      <c r="C57" s="62" t="s">
        <v>28</v>
      </c>
      <c r="D57" s="61"/>
    </row>
    <row r="58" spans="1:6" ht="18.75">
      <c r="A58" s="42" t="s">
        <v>36</v>
      </c>
      <c r="B58" s="37">
        <v>2210</v>
      </c>
      <c r="C58" s="81">
        <f>944+294</f>
        <v>1238</v>
      </c>
      <c r="D58" s="81"/>
    </row>
    <row r="59" spans="1:6" ht="18.75" hidden="1">
      <c r="A59" s="42" t="s">
        <v>30</v>
      </c>
      <c r="B59" s="37">
        <v>2210</v>
      </c>
      <c r="C59" s="67"/>
      <c r="D59" s="68"/>
    </row>
    <row r="60" spans="1:6" ht="18.75" hidden="1">
      <c r="A60" s="42" t="s">
        <v>33</v>
      </c>
      <c r="B60" s="37">
        <v>2210</v>
      </c>
      <c r="C60" s="67"/>
      <c r="D60" s="68"/>
    </row>
    <row r="61" spans="1:6" ht="18.75">
      <c r="A61" s="42" t="s">
        <v>38</v>
      </c>
      <c r="B61" s="38">
        <v>3110.221</v>
      </c>
      <c r="C61" s="65">
        <v>36091</v>
      </c>
      <c r="D61" s="66"/>
    </row>
    <row r="62" spans="1:6" ht="18.75" hidden="1">
      <c r="A62" s="42" t="s">
        <v>29</v>
      </c>
      <c r="B62" s="37">
        <v>2210</v>
      </c>
      <c r="C62" s="65"/>
      <c r="D62" s="66"/>
    </row>
    <row r="63" spans="1:6" ht="18.75" hidden="1">
      <c r="A63" s="42" t="s">
        <v>31</v>
      </c>
      <c r="B63" s="37">
        <v>2210</v>
      </c>
      <c r="C63" s="65"/>
      <c r="D63" s="66"/>
    </row>
    <row r="64" spans="1:6" ht="18.75" hidden="1">
      <c r="A64" s="42" t="s">
        <v>37</v>
      </c>
      <c r="B64" s="37">
        <v>2210</v>
      </c>
      <c r="C64" s="65"/>
      <c r="D64" s="66"/>
    </row>
    <row r="65" spans="1:4" ht="18.75">
      <c r="A65" s="42" t="s">
        <v>32</v>
      </c>
      <c r="B65" s="37">
        <v>3110</v>
      </c>
      <c r="C65" s="65">
        <f>16608.2+3620.9</f>
        <v>20229.100000000002</v>
      </c>
      <c r="D65" s="66"/>
    </row>
    <row r="66" spans="1:4" ht="18.75" hidden="1">
      <c r="A66" s="42" t="s">
        <v>34</v>
      </c>
      <c r="B66" s="37">
        <v>2210</v>
      </c>
      <c r="C66" s="67"/>
      <c r="D66" s="68"/>
    </row>
    <row r="67" spans="1:4" ht="18.75" hidden="1">
      <c r="A67" s="42" t="s">
        <v>35</v>
      </c>
      <c r="B67" s="37">
        <v>2210</v>
      </c>
      <c r="C67" s="67"/>
      <c r="D67" s="68"/>
    </row>
    <row r="68" spans="1:4" ht="18.75" hidden="1">
      <c r="A68" s="42" t="s">
        <v>47</v>
      </c>
      <c r="B68" s="37">
        <v>2240</v>
      </c>
      <c r="C68" s="67"/>
      <c r="D68" s="68"/>
    </row>
    <row r="69" spans="1:4" ht="18.75">
      <c r="A69" s="42" t="s">
        <v>39</v>
      </c>
      <c r="B69" s="37">
        <v>2230</v>
      </c>
      <c r="C69" s="65">
        <v>25088.03</v>
      </c>
      <c r="D69" s="66"/>
    </row>
    <row r="70" spans="1:4" ht="18.75" hidden="1">
      <c r="A70" s="42" t="s">
        <v>40</v>
      </c>
      <c r="B70" s="37">
        <v>2210</v>
      </c>
      <c r="C70" s="67"/>
      <c r="D70" s="68"/>
    </row>
    <row r="71" spans="1:4" ht="18.75">
      <c r="A71" s="42" t="s">
        <v>46</v>
      </c>
      <c r="B71" s="37">
        <v>2210</v>
      </c>
      <c r="C71" s="65">
        <f>491.85+390.44</f>
        <v>882.29</v>
      </c>
      <c r="D71" s="66"/>
    </row>
    <row r="72" spans="1:4" ht="18.75" hidden="1">
      <c r="A72" s="42" t="s">
        <v>44</v>
      </c>
      <c r="B72" s="37">
        <v>2210</v>
      </c>
      <c r="C72" s="65"/>
      <c r="D72" s="66"/>
    </row>
    <row r="73" spans="1:4" ht="18.75" hidden="1">
      <c r="A73" s="42" t="s">
        <v>43</v>
      </c>
      <c r="B73" s="37">
        <v>2210</v>
      </c>
      <c r="C73" s="65"/>
      <c r="D73" s="66"/>
    </row>
    <row r="74" spans="1:4" ht="18.75" hidden="1">
      <c r="A74" s="42" t="s">
        <v>45</v>
      </c>
      <c r="B74" s="43">
        <v>2210</v>
      </c>
      <c r="C74" s="65"/>
      <c r="D74" s="66"/>
    </row>
    <row r="75" spans="1:4" ht="18.75">
      <c r="A75" s="63"/>
      <c r="B75" s="64"/>
      <c r="C75" s="65"/>
      <c r="D75" s="66"/>
    </row>
    <row r="76" spans="1:4" ht="18.75">
      <c r="A76" s="63"/>
      <c r="B76" s="64"/>
      <c r="C76" s="69">
        <f>SUM(C58:D75)</f>
        <v>83528.42</v>
      </c>
      <c r="D76" s="70"/>
    </row>
  </sheetData>
  <mergeCells count="29">
    <mergeCell ref="C64:D64"/>
    <mergeCell ref="C61:D61"/>
    <mergeCell ref="C62:D62"/>
    <mergeCell ref="C63:D63"/>
    <mergeCell ref="C60:D60"/>
    <mergeCell ref="A3:D3"/>
    <mergeCell ref="A2:D2"/>
    <mergeCell ref="A5:D5"/>
    <mergeCell ref="C58:D58"/>
    <mergeCell ref="C59:D59"/>
    <mergeCell ref="A28:D28"/>
    <mergeCell ref="A41:D41"/>
    <mergeCell ref="A55:D55"/>
    <mergeCell ref="A57:B57"/>
    <mergeCell ref="C57:D57"/>
    <mergeCell ref="C65:D65"/>
    <mergeCell ref="C66:D66"/>
    <mergeCell ref="C67:D67"/>
    <mergeCell ref="C68:D68"/>
    <mergeCell ref="C69:D69"/>
    <mergeCell ref="A75:B75"/>
    <mergeCell ref="C75:D75"/>
    <mergeCell ref="A76:B76"/>
    <mergeCell ref="C76:D76"/>
    <mergeCell ref="C70:D70"/>
    <mergeCell ref="C71:D71"/>
    <mergeCell ref="C72:D72"/>
    <mergeCell ref="C73:D73"/>
    <mergeCell ref="C74:D7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76"/>
  <sheetViews>
    <sheetView workbookViewId="0">
      <selection activeCell="G2" sqref="G2"/>
    </sheetView>
  </sheetViews>
  <sheetFormatPr defaultRowHeight="15"/>
  <cols>
    <col min="1" max="1" width="40.875" style="3" customWidth="1"/>
    <col min="2" max="2" width="9" style="1" customWidth="1"/>
    <col min="3" max="3" width="18.125" customWidth="1"/>
    <col min="4" max="4" width="16" customWidth="1"/>
    <col min="5" max="5" width="10.75" hidden="1" customWidth="1"/>
    <col min="6" max="6" width="11" hidden="1" customWidth="1"/>
  </cols>
  <sheetData>
    <row r="2" spans="1:6" ht="61.5" customHeight="1">
      <c r="A2" s="56" t="s">
        <v>60</v>
      </c>
      <c r="B2" s="57"/>
      <c r="C2" s="57"/>
      <c r="D2" s="57"/>
    </row>
    <row r="3" spans="1:6" ht="40.5" customHeight="1">
      <c r="A3" s="73" t="s">
        <v>55</v>
      </c>
      <c r="B3" s="74"/>
      <c r="C3" s="74"/>
      <c r="D3" s="74"/>
    </row>
    <row r="4" spans="1:6" ht="18.75">
      <c r="A4" s="13"/>
      <c r="B4" s="14"/>
      <c r="C4" s="15"/>
      <c r="D4" s="15"/>
    </row>
    <row r="5" spans="1:6" ht="40.5" customHeight="1">
      <c r="A5" s="75" t="s">
        <v>24</v>
      </c>
      <c r="B5" s="78"/>
      <c r="C5" s="78"/>
      <c r="D5" s="78"/>
    </row>
    <row r="6" spans="1:6" s="2" customFormat="1" ht="76.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1">
        <f>4007340+40530</f>
        <v>4047870</v>
      </c>
      <c r="D7" s="31">
        <f>3807915.7+48589.49</f>
        <v>3856505.1900000004</v>
      </c>
      <c r="E7" s="4">
        <f>C7-D7</f>
        <v>191364.80999999959</v>
      </c>
      <c r="F7" s="32">
        <f>C7-D7</f>
        <v>191364.80999999959</v>
      </c>
    </row>
    <row r="8" spans="1:6" s="2" customFormat="1" ht="18.75">
      <c r="A8" s="28" t="s">
        <v>41</v>
      </c>
      <c r="B8" s="23">
        <v>2120</v>
      </c>
      <c r="C8" s="31">
        <f>881620+8910</f>
        <v>890530</v>
      </c>
      <c r="D8" s="31">
        <f>10689.71+823632.47</f>
        <v>834322.17999999993</v>
      </c>
      <c r="E8" s="4">
        <f t="shared" ref="E8:E25" si="0">C8-D8</f>
        <v>56207.820000000065</v>
      </c>
      <c r="F8" s="32">
        <f t="shared" ref="F8:F25" si="1">C8-D8</f>
        <v>56207.820000000065</v>
      </c>
    </row>
    <row r="9" spans="1:6" ht="37.5">
      <c r="A9" s="18" t="s">
        <v>2</v>
      </c>
      <c r="B9" s="23">
        <v>2210</v>
      </c>
      <c r="C9" s="20">
        <f>113355.5+11000+30000+151000</f>
        <v>305355.5</v>
      </c>
      <c r="D9" s="20">
        <f>93121.8+211991.32</f>
        <v>305113.12</v>
      </c>
      <c r="E9" s="4">
        <f t="shared" si="0"/>
        <v>242.38000000000466</v>
      </c>
      <c r="F9" s="32">
        <f t="shared" si="1"/>
        <v>242.38000000000466</v>
      </c>
    </row>
    <row r="10" spans="1:6" ht="18.75">
      <c r="A10" s="18" t="s">
        <v>3</v>
      </c>
      <c r="B10" s="23">
        <v>2230</v>
      </c>
      <c r="C10" s="20">
        <f>98590+210000</f>
        <v>308590</v>
      </c>
      <c r="D10" s="20">
        <v>306637.06</v>
      </c>
      <c r="E10" s="4">
        <f t="shared" si="0"/>
        <v>1952.9400000000023</v>
      </c>
      <c r="F10" s="32">
        <f t="shared" si="1"/>
        <v>1952.9400000000023</v>
      </c>
    </row>
    <row r="11" spans="1:6" ht="18.75">
      <c r="A11" s="18" t="s">
        <v>4</v>
      </c>
      <c r="B11" s="23">
        <v>2240</v>
      </c>
      <c r="C11" s="20">
        <f>336776+20000+51500</f>
        <v>408276</v>
      </c>
      <c r="D11" s="20">
        <v>408034.56</v>
      </c>
      <c r="E11" s="4">
        <f t="shared" si="0"/>
        <v>241.44000000000233</v>
      </c>
      <c r="F11" s="32">
        <f t="shared" si="1"/>
        <v>241.44000000000233</v>
      </c>
    </row>
    <row r="12" spans="1:6" ht="18.75">
      <c r="A12" s="18" t="s">
        <v>5</v>
      </c>
      <c r="B12" s="23">
        <v>2250</v>
      </c>
      <c r="C12" s="20">
        <v>780</v>
      </c>
      <c r="D12" s="20">
        <v>780</v>
      </c>
      <c r="E12" s="4">
        <f t="shared" si="0"/>
        <v>0</v>
      </c>
      <c r="F12" s="32">
        <f t="shared" si="1"/>
        <v>0</v>
      </c>
    </row>
    <row r="13" spans="1:6" ht="18.75" hidden="1">
      <c r="A13" s="18" t="s">
        <v>6</v>
      </c>
      <c r="B13" s="23">
        <v>2271</v>
      </c>
      <c r="C13" s="20"/>
      <c r="D13" s="20"/>
      <c r="E13" s="4">
        <f t="shared" si="0"/>
        <v>0</v>
      </c>
      <c r="F13" s="32">
        <f t="shared" si="1"/>
        <v>0</v>
      </c>
    </row>
    <row r="14" spans="1:6" ht="37.5">
      <c r="A14" s="18" t="s">
        <v>7</v>
      </c>
      <c r="B14" s="23">
        <v>2272</v>
      </c>
      <c r="C14" s="20">
        <f>2050+25000</f>
        <v>27050</v>
      </c>
      <c r="D14" s="20">
        <v>25256.400000000001</v>
      </c>
      <c r="E14" s="4">
        <f t="shared" si="0"/>
        <v>1793.5999999999985</v>
      </c>
      <c r="F14" s="32">
        <f t="shared" si="1"/>
        <v>1793.5999999999985</v>
      </c>
    </row>
    <row r="15" spans="1:6" ht="18.75">
      <c r="A15" s="18" t="s">
        <v>8</v>
      </c>
      <c r="B15" s="23">
        <v>2273</v>
      </c>
      <c r="C15" s="20">
        <f>97656-20000</f>
        <v>77656</v>
      </c>
      <c r="D15" s="20">
        <v>56680.11</v>
      </c>
      <c r="E15" s="4">
        <f t="shared" si="0"/>
        <v>20975.89</v>
      </c>
      <c r="F15" s="32">
        <f t="shared" si="1"/>
        <v>20975.89</v>
      </c>
    </row>
    <row r="16" spans="1:6" ht="18.75">
      <c r="A16" s="18" t="s">
        <v>9</v>
      </c>
      <c r="B16" s="23">
        <v>2274</v>
      </c>
      <c r="C16" s="20">
        <f>505441-78000-35000</f>
        <v>392441</v>
      </c>
      <c r="D16" s="20">
        <v>328986.01</v>
      </c>
      <c r="E16" s="4">
        <f t="shared" si="0"/>
        <v>63454.989999999991</v>
      </c>
      <c r="F16" s="32">
        <f t="shared" si="1"/>
        <v>63454.989999999991</v>
      </c>
    </row>
    <row r="17" spans="1:9" ht="18.75" hidden="1">
      <c r="A17" s="18" t="s">
        <v>10</v>
      </c>
      <c r="B17" s="23">
        <v>2275</v>
      </c>
      <c r="C17" s="20"/>
      <c r="D17" s="20"/>
      <c r="E17" s="4">
        <f t="shared" si="0"/>
        <v>0</v>
      </c>
      <c r="F17" s="32">
        <f t="shared" si="1"/>
        <v>0</v>
      </c>
    </row>
    <row r="18" spans="1:9" ht="33" customHeight="1">
      <c r="A18" s="18" t="s">
        <v>11</v>
      </c>
      <c r="B18" s="23">
        <v>2282</v>
      </c>
      <c r="C18" s="20">
        <v>2045</v>
      </c>
      <c r="D18" s="20">
        <v>2043.7</v>
      </c>
      <c r="E18" s="4">
        <f t="shared" si="0"/>
        <v>1.2999999999999545</v>
      </c>
      <c r="F18" s="32">
        <f t="shared" si="1"/>
        <v>1.2999999999999545</v>
      </c>
    </row>
    <row r="19" spans="1:9" ht="18" hidden="1" customHeight="1">
      <c r="A19" s="18" t="s">
        <v>14</v>
      </c>
      <c r="B19" s="23">
        <v>2730</v>
      </c>
      <c r="C19" s="20"/>
      <c r="D19" s="20"/>
      <c r="E19" s="4">
        <f t="shared" si="0"/>
        <v>0</v>
      </c>
      <c r="F19" s="32">
        <f t="shared" si="1"/>
        <v>0</v>
      </c>
    </row>
    <row r="20" spans="1:9" ht="15.75" customHeight="1">
      <c r="A20" s="18" t="s">
        <v>15</v>
      </c>
      <c r="B20" s="23">
        <v>2800</v>
      </c>
      <c r="C20" s="20">
        <f>180+210</f>
        <v>390</v>
      </c>
      <c r="D20" s="20">
        <v>390</v>
      </c>
      <c r="E20" s="4">
        <f t="shared" si="0"/>
        <v>0</v>
      </c>
      <c r="F20" s="32">
        <f t="shared" si="1"/>
        <v>0</v>
      </c>
    </row>
    <row r="21" spans="1:9" ht="36" customHeight="1">
      <c r="A21" s="18" t="s">
        <v>12</v>
      </c>
      <c r="B21" s="23">
        <v>3110</v>
      </c>
      <c r="C21" s="20">
        <f>33000+14000+9272+77900</f>
        <v>134172</v>
      </c>
      <c r="D21" s="20">
        <f>42233.66+14000+77895.6</f>
        <v>134129.26</v>
      </c>
      <c r="E21" s="4">
        <f t="shared" si="0"/>
        <v>42.739999999990687</v>
      </c>
      <c r="F21" s="32">
        <f t="shared" si="1"/>
        <v>42.739999999990687</v>
      </c>
      <c r="H21" s="41"/>
    </row>
    <row r="22" spans="1:9" ht="37.5" hidden="1">
      <c r="A22" s="18" t="s">
        <v>20</v>
      </c>
      <c r="B22" s="23">
        <v>3122</v>
      </c>
      <c r="C22" s="20"/>
      <c r="D22" s="20"/>
      <c r="E22" s="4">
        <f t="shared" si="0"/>
        <v>0</v>
      </c>
      <c r="F22" s="32">
        <f t="shared" si="1"/>
        <v>0</v>
      </c>
      <c r="I22" t="s">
        <v>19</v>
      </c>
    </row>
    <row r="23" spans="1:9" ht="18.75" hidden="1">
      <c r="A23" s="18" t="s">
        <v>21</v>
      </c>
      <c r="B23" s="23">
        <v>3132</v>
      </c>
      <c r="C23" s="20"/>
      <c r="D23" s="20"/>
      <c r="E23" s="4">
        <f t="shared" si="0"/>
        <v>0</v>
      </c>
      <c r="F23" s="32">
        <f t="shared" si="1"/>
        <v>0</v>
      </c>
    </row>
    <row r="24" spans="1:9" ht="37.5" hidden="1">
      <c r="A24" s="36" t="s">
        <v>42</v>
      </c>
      <c r="B24" s="23">
        <v>3142</v>
      </c>
      <c r="C24" s="20"/>
      <c r="D24" s="20"/>
      <c r="E24" s="4">
        <f t="shared" si="0"/>
        <v>0</v>
      </c>
      <c r="F24" s="32">
        <f t="shared" si="1"/>
        <v>0</v>
      </c>
    </row>
    <row r="25" spans="1:9" ht="18.75">
      <c r="A25" s="18" t="s">
        <v>13</v>
      </c>
      <c r="B25" s="23"/>
      <c r="C25" s="21">
        <f>SUM(C7:C24)</f>
        <v>6595155.5</v>
      </c>
      <c r="D25" s="21">
        <f>SUM(D7:D24)</f>
        <v>6258877.5899999999</v>
      </c>
      <c r="E25" s="4">
        <f t="shared" si="0"/>
        <v>336277.91000000015</v>
      </c>
      <c r="F25" s="32">
        <f t="shared" si="1"/>
        <v>336277.91000000015</v>
      </c>
    </row>
    <row r="26" spans="1:9">
      <c r="C26" s="4"/>
      <c r="D26" s="4"/>
    </row>
    <row r="27" spans="1:9" ht="30.75" customHeight="1">
      <c r="A27" s="56" t="s">
        <v>25</v>
      </c>
      <c r="B27" s="77"/>
      <c r="C27" s="77"/>
      <c r="D27" s="77"/>
    </row>
    <row r="28" spans="1:9">
      <c r="D28" s="35"/>
    </row>
    <row r="29" spans="1:9" ht="75">
      <c r="A29" s="22" t="s">
        <v>0</v>
      </c>
      <c r="B29" s="22" t="s">
        <v>1</v>
      </c>
      <c r="C29" s="17" t="s">
        <v>23</v>
      </c>
      <c r="D29" s="17" t="s">
        <v>18</v>
      </c>
    </row>
    <row r="30" spans="1:9" ht="37.5">
      <c r="A30" s="18" t="s">
        <v>2</v>
      </c>
      <c r="B30" s="24">
        <v>2210</v>
      </c>
      <c r="C30" s="40">
        <v>2400</v>
      </c>
      <c r="D30" s="40">
        <v>2400</v>
      </c>
      <c r="F30" s="32"/>
    </row>
    <row r="31" spans="1:9" ht="18.75" hidden="1">
      <c r="A31" s="19" t="s">
        <v>3</v>
      </c>
      <c r="B31" s="24">
        <v>2230</v>
      </c>
      <c r="C31" s="53"/>
      <c r="D31" s="40"/>
      <c r="F31" s="32"/>
    </row>
    <row r="32" spans="1:9" ht="18.75" hidden="1">
      <c r="A32" s="19" t="s">
        <v>4</v>
      </c>
      <c r="B32" s="24">
        <v>2240</v>
      </c>
      <c r="C32" s="53"/>
      <c r="D32" s="40"/>
      <c r="F32" s="32"/>
    </row>
    <row r="33" spans="1:6" ht="18.75">
      <c r="A33" s="19" t="s">
        <v>10</v>
      </c>
      <c r="B33" s="24">
        <v>2275</v>
      </c>
      <c r="C33" s="40">
        <v>20</v>
      </c>
      <c r="D33" s="40">
        <v>20</v>
      </c>
      <c r="F33" s="32"/>
    </row>
    <row r="34" spans="1:6" ht="18.75" hidden="1">
      <c r="A34" s="18" t="s">
        <v>15</v>
      </c>
      <c r="B34" s="24">
        <v>2800</v>
      </c>
      <c r="C34" s="20"/>
      <c r="D34" s="20"/>
      <c r="F34" s="32"/>
    </row>
    <row r="35" spans="1:6" ht="37.5" hidden="1">
      <c r="A35" s="18" t="s">
        <v>12</v>
      </c>
      <c r="B35" s="24">
        <v>3110</v>
      </c>
      <c r="C35" s="20"/>
      <c r="D35" s="20"/>
      <c r="F35" s="32"/>
    </row>
    <row r="36" spans="1:6" ht="18.75" hidden="1">
      <c r="A36" s="25" t="s">
        <v>16</v>
      </c>
      <c r="B36" s="26">
        <v>3132</v>
      </c>
      <c r="C36" s="27"/>
      <c r="D36" s="27"/>
      <c r="F36" s="32"/>
    </row>
    <row r="37" spans="1:6" ht="18.75">
      <c r="A37" s="18" t="s">
        <v>13</v>
      </c>
      <c r="B37" s="24"/>
      <c r="C37" s="21">
        <f>SUM(C30:C36)</f>
        <v>2420</v>
      </c>
      <c r="D37" s="21">
        <f>SUM(D30:D36)</f>
        <v>2420</v>
      </c>
      <c r="F37" s="32"/>
    </row>
    <row r="38" spans="1:6">
      <c r="A38" s="1"/>
      <c r="B38" s="10"/>
      <c r="C38" s="4"/>
      <c r="D38" s="4"/>
    </row>
    <row r="39" spans="1:6">
      <c r="A39" s="1"/>
      <c r="B39" s="10"/>
      <c r="C39" s="4"/>
      <c r="D39" s="4"/>
    </row>
    <row r="40" spans="1:6" ht="33.75" customHeight="1">
      <c r="A40" s="58" t="s">
        <v>26</v>
      </c>
      <c r="B40" s="59"/>
      <c r="C40" s="59"/>
      <c r="D40" s="59"/>
    </row>
    <row r="41" spans="1:6">
      <c r="A41" s="1"/>
      <c r="B41" s="10"/>
      <c r="C41" s="4"/>
      <c r="D41" s="4"/>
    </row>
    <row r="42" spans="1:6" ht="75">
      <c r="A42" s="22" t="s">
        <v>0</v>
      </c>
      <c r="B42" s="22" t="s">
        <v>1</v>
      </c>
      <c r="C42" s="17" t="s">
        <v>23</v>
      </c>
      <c r="D42" s="17" t="s">
        <v>18</v>
      </c>
    </row>
    <row r="43" spans="1:6" ht="37.5">
      <c r="A43" s="18" t="s">
        <v>2</v>
      </c>
      <c r="B43" s="24">
        <v>2210</v>
      </c>
      <c r="C43" s="40">
        <v>7667.79</v>
      </c>
      <c r="D43" s="40">
        <v>7667.79</v>
      </c>
      <c r="F43" s="32"/>
    </row>
    <row r="44" spans="1:6" ht="18.75">
      <c r="A44" s="19" t="s">
        <v>3</v>
      </c>
      <c r="B44" s="24">
        <v>2230</v>
      </c>
      <c r="C44" s="40">
        <v>37621.03</v>
      </c>
      <c r="D44" s="40">
        <v>37621.03</v>
      </c>
      <c r="F44" s="32"/>
    </row>
    <row r="45" spans="1:6" ht="18.75" hidden="1">
      <c r="A45" s="19" t="s">
        <v>4</v>
      </c>
      <c r="B45" s="24">
        <v>2240</v>
      </c>
      <c r="C45" s="20"/>
      <c r="D45" s="20"/>
      <c r="F45" s="32"/>
    </row>
    <row r="46" spans="1:6" ht="18.75" hidden="1">
      <c r="A46" s="19" t="s">
        <v>10</v>
      </c>
      <c r="B46" s="24">
        <v>2275</v>
      </c>
      <c r="C46" s="20"/>
      <c r="D46" s="20"/>
      <c r="F46" s="32"/>
    </row>
    <row r="47" spans="1:6" ht="18.75" hidden="1">
      <c r="A47" s="18" t="s">
        <v>15</v>
      </c>
      <c r="B47" s="24">
        <v>2800</v>
      </c>
      <c r="C47" s="20"/>
      <c r="D47" s="20"/>
      <c r="F47" s="32"/>
    </row>
    <row r="48" spans="1:6" ht="37.5">
      <c r="A48" s="18" t="s">
        <v>12</v>
      </c>
      <c r="B48" s="24">
        <v>3110</v>
      </c>
      <c r="C48" s="40">
        <v>109609.56</v>
      </c>
      <c r="D48" s="40">
        <v>109609.56</v>
      </c>
      <c r="F48" s="32"/>
    </row>
    <row r="49" spans="1:6" ht="18.75" hidden="1">
      <c r="A49" s="25" t="s">
        <v>16</v>
      </c>
      <c r="B49" s="26">
        <v>3132</v>
      </c>
      <c r="C49" s="27"/>
      <c r="D49" s="27"/>
      <c r="F49" s="32"/>
    </row>
    <row r="50" spans="1:6" ht="18.75">
      <c r="A50" s="18" t="s">
        <v>13</v>
      </c>
      <c r="B50" s="24"/>
      <c r="C50" s="21">
        <f>C43+C44+C47+C48+C49</f>
        <v>154898.38</v>
      </c>
      <c r="D50" s="21">
        <f>D43+D44+D47+D48+D49</f>
        <v>154898.38</v>
      </c>
      <c r="F50" s="32"/>
    </row>
    <row r="51" spans="1:6" ht="18.75">
      <c r="A51" s="45"/>
      <c r="B51" s="46"/>
      <c r="C51" s="47"/>
      <c r="D51" s="47"/>
      <c r="F51" s="32"/>
    </row>
    <row r="52" spans="1:6" ht="18.75">
      <c r="A52" s="45"/>
      <c r="B52" s="46"/>
      <c r="C52" s="47"/>
      <c r="D52" s="47"/>
      <c r="F52" s="32"/>
    </row>
    <row r="55" spans="1:6" ht="34.5" customHeight="1">
      <c r="A55" s="58" t="s">
        <v>61</v>
      </c>
      <c r="B55" s="59"/>
      <c r="C55" s="59"/>
      <c r="D55" s="59"/>
    </row>
    <row r="57" spans="1:6" ht="16.5" customHeight="1">
      <c r="A57" s="60" t="s">
        <v>27</v>
      </c>
      <c r="B57" s="61"/>
      <c r="C57" s="62" t="s">
        <v>28</v>
      </c>
      <c r="D57" s="61"/>
    </row>
    <row r="58" spans="1:6" ht="16.5" customHeight="1">
      <c r="A58" s="42" t="s">
        <v>36</v>
      </c>
      <c r="B58" s="37">
        <v>2210</v>
      </c>
      <c r="C58" s="81">
        <f>3934.3+700+1119.7</f>
        <v>5754</v>
      </c>
      <c r="D58" s="81"/>
    </row>
    <row r="59" spans="1:6" ht="16.5" hidden="1" customHeight="1">
      <c r="A59" s="42" t="s">
        <v>30</v>
      </c>
      <c r="B59" s="37">
        <v>2210</v>
      </c>
      <c r="C59" s="67"/>
      <c r="D59" s="68"/>
    </row>
    <row r="60" spans="1:6" ht="16.5" hidden="1" customHeight="1">
      <c r="A60" s="42" t="s">
        <v>33</v>
      </c>
      <c r="B60" s="37">
        <v>2210</v>
      </c>
      <c r="C60" s="67"/>
      <c r="D60" s="68"/>
    </row>
    <row r="61" spans="1:6" ht="16.5" customHeight="1">
      <c r="A61" s="42" t="s">
        <v>38</v>
      </c>
      <c r="B61" s="38">
        <v>3110.221</v>
      </c>
      <c r="C61" s="65">
        <v>75958</v>
      </c>
      <c r="D61" s="66"/>
    </row>
    <row r="62" spans="1:6" ht="16.5" hidden="1" customHeight="1">
      <c r="A62" s="42" t="s">
        <v>29</v>
      </c>
      <c r="B62" s="37">
        <v>2210</v>
      </c>
      <c r="C62" s="67"/>
      <c r="D62" s="68"/>
    </row>
    <row r="63" spans="1:6" ht="16.5" hidden="1" customHeight="1">
      <c r="A63" s="42" t="s">
        <v>31</v>
      </c>
      <c r="B63" s="37">
        <v>2210</v>
      </c>
      <c r="C63" s="67"/>
      <c r="D63" s="68"/>
    </row>
    <row r="64" spans="1:6" ht="16.5" hidden="1" customHeight="1">
      <c r="A64" s="42" t="s">
        <v>37</v>
      </c>
      <c r="B64" s="37">
        <v>2210</v>
      </c>
      <c r="C64" s="67"/>
      <c r="D64" s="68"/>
    </row>
    <row r="65" spans="1:4" ht="16.5" customHeight="1">
      <c r="A65" s="42" t="s">
        <v>32</v>
      </c>
      <c r="B65" s="37">
        <v>3110</v>
      </c>
      <c r="C65" s="65">
        <f>26898.35+6753.21</f>
        <v>33651.56</v>
      </c>
      <c r="D65" s="66"/>
    </row>
    <row r="66" spans="1:4" ht="16.5" hidden="1" customHeight="1">
      <c r="A66" s="42" t="s">
        <v>34</v>
      </c>
      <c r="B66" s="37">
        <v>2210</v>
      </c>
      <c r="C66" s="67"/>
      <c r="D66" s="68"/>
    </row>
    <row r="67" spans="1:4" ht="16.5" hidden="1" customHeight="1">
      <c r="A67" s="42" t="s">
        <v>35</v>
      </c>
      <c r="B67" s="37">
        <v>2210</v>
      </c>
      <c r="C67" s="67"/>
      <c r="D67" s="68"/>
    </row>
    <row r="68" spans="1:4" ht="16.5" hidden="1" customHeight="1">
      <c r="A68" s="42" t="s">
        <v>47</v>
      </c>
      <c r="B68" s="37">
        <v>2240</v>
      </c>
      <c r="C68" s="67"/>
      <c r="D68" s="68"/>
    </row>
    <row r="69" spans="1:4" ht="16.5" customHeight="1">
      <c r="A69" s="42" t="s">
        <v>39</v>
      </c>
      <c r="B69" s="37">
        <v>2230</v>
      </c>
      <c r="C69" s="65">
        <v>37621.03</v>
      </c>
      <c r="D69" s="66"/>
    </row>
    <row r="70" spans="1:4" ht="16.5" hidden="1" customHeight="1">
      <c r="A70" s="42" t="s">
        <v>40</v>
      </c>
      <c r="B70" s="37">
        <v>2210</v>
      </c>
      <c r="C70" s="67"/>
      <c r="D70" s="68"/>
    </row>
    <row r="71" spans="1:4" ht="16.5" customHeight="1">
      <c r="A71" s="42" t="s">
        <v>46</v>
      </c>
      <c r="B71" s="37">
        <v>2210</v>
      </c>
      <c r="C71" s="65">
        <f>491.85+1421.94</f>
        <v>1913.79</v>
      </c>
      <c r="D71" s="66"/>
    </row>
    <row r="72" spans="1:4" ht="16.5" hidden="1" customHeight="1">
      <c r="A72" s="42" t="s">
        <v>44</v>
      </c>
      <c r="B72" s="37">
        <v>2210</v>
      </c>
      <c r="C72" s="65"/>
      <c r="D72" s="66"/>
    </row>
    <row r="73" spans="1:4" ht="16.5" hidden="1" customHeight="1">
      <c r="A73" s="42" t="s">
        <v>43</v>
      </c>
      <c r="B73" s="37">
        <v>2210</v>
      </c>
      <c r="C73" s="65"/>
      <c r="D73" s="66"/>
    </row>
    <row r="74" spans="1:4" ht="16.5" hidden="1" customHeight="1">
      <c r="A74" s="42" t="s">
        <v>45</v>
      </c>
      <c r="B74" s="43">
        <v>2210</v>
      </c>
      <c r="C74" s="65"/>
      <c r="D74" s="66"/>
    </row>
    <row r="75" spans="1:4" ht="16.5" customHeight="1">
      <c r="A75" s="63"/>
      <c r="B75" s="64"/>
      <c r="C75" s="65"/>
      <c r="D75" s="66"/>
    </row>
    <row r="76" spans="1:4" ht="18.75">
      <c r="A76" s="63"/>
      <c r="B76" s="64"/>
      <c r="C76" s="69">
        <f>SUM(C58:D75)</f>
        <v>154898.38</v>
      </c>
      <c r="D76" s="70"/>
    </row>
  </sheetData>
  <mergeCells count="29">
    <mergeCell ref="C62:D62"/>
    <mergeCell ref="C63:D63"/>
    <mergeCell ref="A3:D3"/>
    <mergeCell ref="C61:D61"/>
    <mergeCell ref="A2:D2"/>
    <mergeCell ref="A5:D5"/>
    <mergeCell ref="C58:D58"/>
    <mergeCell ref="A27:D27"/>
    <mergeCell ref="A40:D40"/>
    <mergeCell ref="A55:D55"/>
    <mergeCell ref="A57:B57"/>
    <mergeCell ref="C57:D57"/>
    <mergeCell ref="C59:D59"/>
    <mergeCell ref="C60:D60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A75:B75"/>
    <mergeCell ref="C75:D75"/>
    <mergeCell ref="A76:B76"/>
    <mergeCell ref="C76:D7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78"/>
  <sheetViews>
    <sheetView workbookViewId="0">
      <selection activeCell="I49" sqref="I49"/>
    </sheetView>
  </sheetViews>
  <sheetFormatPr defaultRowHeight="15"/>
  <cols>
    <col min="1" max="1" width="40.875" style="3" customWidth="1"/>
    <col min="2" max="2" width="8.875" style="1" customWidth="1"/>
    <col min="3" max="3" width="19.25" customWidth="1"/>
    <col min="4" max="4" width="15.25" customWidth="1"/>
    <col min="5" max="5" width="10.625" hidden="1" customWidth="1"/>
    <col min="6" max="6" width="11" hidden="1" customWidth="1"/>
  </cols>
  <sheetData>
    <row r="2" spans="1:6" ht="57" customHeight="1">
      <c r="A2" s="56" t="s">
        <v>60</v>
      </c>
      <c r="B2" s="57"/>
      <c r="C2" s="57"/>
      <c r="D2" s="57"/>
    </row>
    <row r="3" spans="1:6" ht="56.25" customHeight="1">
      <c r="A3" s="73" t="s">
        <v>56</v>
      </c>
      <c r="B3" s="74"/>
      <c r="C3" s="74"/>
      <c r="D3" s="74"/>
    </row>
    <row r="4" spans="1:6" ht="18.75">
      <c r="A4" s="13"/>
      <c r="B4" s="14"/>
      <c r="C4" s="15"/>
      <c r="D4" s="15"/>
    </row>
    <row r="5" spans="1:6" ht="39.75" customHeight="1">
      <c r="A5" s="75" t="s">
        <v>24</v>
      </c>
      <c r="B5" s="78"/>
      <c r="C5" s="78"/>
      <c r="D5" s="78"/>
    </row>
    <row r="6" spans="1:6" s="2" customFormat="1" ht="74.2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1">
        <f>3617400+119330</f>
        <v>3736730</v>
      </c>
      <c r="D7" s="31">
        <f>3310332.01+78474.85</f>
        <v>3388806.86</v>
      </c>
      <c r="E7" s="4">
        <f>C7-D7</f>
        <v>347923.14000000013</v>
      </c>
      <c r="F7" s="32">
        <f>C7-D7</f>
        <v>347923.14000000013</v>
      </c>
    </row>
    <row r="8" spans="1:6" s="2" customFormat="1" ht="18.75">
      <c r="A8" s="28" t="s">
        <v>41</v>
      </c>
      <c r="B8" s="23">
        <v>2120</v>
      </c>
      <c r="C8" s="31">
        <f>795820+26240-3000</f>
        <v>819060</v>
      </c>
      <c r="D8" s="31">
        <f>17264.44+740909.58</f>
        <v>758174.0199999999</v>
      </c>
      <c r="E8" s="4">
        <f t="shared" ref="E8:E25" si="0">C8-D8</f>
        <v>60885.980000000098</v>
      </c>
      <c r="F8" s="32">
        <f t="shared" ref="F8:F25" si="1">C8-D8</f>
        <v>60885.980000000098</v>
      </c>
    </row>
    <row r="9" spans="1:6" ht="37.5">
      <c r="A9" s="18" t="s">
        <v>2</v>
      </c>
      <c r="B9" s="23">
        <v>2210</v>
      </c>
      <c r="C9" s="20">
        <f>23779.9+6650+114000</f>
        <v>144429.9</v>
      </c>
      <c r="D9" s="20">
        <f>50621.5+93802.4</f>
        <v>144423.9</v>
      </c>
      <c r="E9" s="4">
        <f t="shared" si="0"/>
        <v>6</v>
      </c>
      <c r="F9" s="32">
        <f t="shared" si="1"/>
        <v>6</v>
      </c>
    </row>
    <row r="10" spans="1:6" ht="18.75">
      <c r="A10" s="18" t="s">
        <v>3</v>
      </c>
      <c r="B10" s="23">
        <v>2230</v>
      </c>
      <c r="C10" s="20">
        <f>77680+139000</f>
        <v>216680</v>
      </c>
      <c r="D10" s="20">
        <v>216181.3</v>
      </c>
      <c r="E10" s="4">
        <f t="shared" si="0"/>
        <v>498.70000000001164</v>
      </c>
      <c r="F10" s="32">
        <f t="shared" si="1"/>
        <v>498.70000000001164</v>
      </c>
    </row>
    <row r="11" spans="1:6" ht="18.75">
      <c r="A11" s="18" t="s">
        <v>4</v>
      </c>
      <c r="B11" s="23">
        <v>2240</v>
      </c>
      <c r="C11" s="20">
        <f>112905+57500</f>
        <v>170405</v>
      </c>
      <c r="D11" s="20">
        <v>170093.39</v>
      </c>
      <c r="E11" s="4">
        <f t="shared" si="0"/>
        <v>311.60999999998603</v>
      </c>
      <c r="F11" s="32">
        <f t="shared" si="1"/>
        <v>311.60999999998603</v>
      </c>
    </row>
    <row r="12" spans="1:6" ht="18.75">
      <c r="A12" s="18" t="s">
        <v>5</v>
      </c>
      <c r="B12" s="23">
        <v>2250</v>
      </c>
      <c r="C12" s="20">
        <v>780</v>
      </c>
      <c r="D12" s="20">
        <v>780</v>
      </c>
      <c r="E12" s="4">
        <f t="shared" si="0"/>
        <v>0</v>
      </c>
      <c r="F12" s="32">
        <f t="shared" si="1"/>
        <v>0</v>
      </c>
    </row>
    <row r="13" spans="1:6" ht="18.75" hidden="1">
      <c r="A13" s="18" t="s">
        <v>6</v>
      </c>
      <c r="B13" s="23">
        <v>2271</v>
      </c>
      <c r="C13" s="20"/>
      <c r="D13" s="20"/>
      <c r="E13" s="4">
        <f t="shared" si="0"/>
        <v>0</v>
      </c>
      <c r="F13" s="32">
        <f t="shared" si="1"/>
        <v>0</v>
      </c>
    </row>
    <row r="14" spans="1:6" ht="37.5">
      <c r="A14" s="18" t="s">
        <v>7</v>
      </c>
      <c r="B14" s="23">
        <v>2272</v>
      </c>
      <c r="C14" s="20">
        <v>4500</v>
      </c>
      <c r="D14" s="20">
        <v>4238.78</v>
      </c>
      <c r="E14" s="4">
        <f t="shared" si="0"/>
        <v>261.22000000000025</v>
      </c>
      <c r="F14" s="32">
        <f t="shared" si="1"/>
        <v>261.22000000000025</v>
      </c>
    </row>
    <row r="15" spans="1:6" ht="18.75">
      <c r="A15" s="18" t="s">
        <v>8</v>
      </c>
      <c r="B15" s="23">
        <v>2273</v>
      </c>
      <c r="C15" s="20">
        <f>34610+20000</f>
        <v>54610</v>
      </c>
      <c r="D15" s="20">
        <v>52765.38</v>
      </c>
      <c r="E15" s="4">
        <f t="shared" si="0"/>
        <v>1844.6200000000026</v>
      </c>
      <c r="F15" s="32">
        <f t="shared" si="1"/>
        <v>1844.6200000000026</v>
      </c>
    </row>
    <row r="16" spans="1:6" ht="18.75">
      <c r="A16" s="18" t="s">
        <v>9</v>
      </c>
      <c r="B16" s="23">
        <v>2274</v>
      </c>
      <c r="C16" s="20">
        <f>165310+35000</f>
        <v>200310</v>
      </c>
      <c r="D16" s="20">
        <v>198600.05</v>
      </c>
      <c r="E16" s="4">
        <f t="shared" si="0"/>
        <v>1709.9500000000116</v>
      </c>
      <c r="F16" s="32">
        <f t="shared" si="1"/>
        <v>1709.9500000000116</v>
      </c>
    </row>
    <row r="17" spans="1:9" ht="18.75" hidden="1">
      <c r="A17" s="18" t="s">
        <v>10</v>
      </c>
      <c r="B17" s="23">
        <v>2275</v>
      </c>
      <c r="C17" s="20"/>
      <c r="D17" s="20"/>
      <c r="E17" s="4">
        <f t="shared" si="0"/>
        <v>0</v>
      </c>
      <c r="F17" s="32">
        <f t="shared" si="1"/>
        <v>0</v>
      </c>
    </row>
    <row r="18" spans="1:9" ht="33" customHeight="1">
      <c r="A18" s="18" t="s">
        <v>11</v>
      </c>
      <c r="B18" s="23">
        <v>2282</v>
      </c>
      <c r="C18" s="20">
        <v>2045</v>
      </c>
      <c r="D18" s="20">
        <v>2043.7</v>
      </c>
      <c r="E18" s="4">
        <f t="shared" si="0"/>
        <v>1.2999999999999545</v>
      </c>
      <c r="F18" s="32">
        <f t="shared" si="1"/>
        <v>1.2999999999999545</v>
      </c>
    </row>
    <row r="19" spans="1:9" ht="18" hidden="1" customHeight="1">
      <c r="A19" s="18" t="s">
        <v>14</v>
      </c>
      <c r="B19" s="23">
        <v>2730</v>
      </c>
      <c r="C19" s="20"/>
      <c r="D19" s="20"/>
      <c r="E19" s="4">
        <f t="shared" si="0"/>
        <v>0</v>
      </c>
      <c r="F19" s="32">
        <f t="shared" si="1"/>
        <v>0</v>
      </c>
    </row>
    <row r="20" spans="1:9" ht="15.75" customHeight="1">
      <c r="A20" s="18" t="s">
        <v>15</v>
      </c>
      <c r="B20" s="23">
        <v>2800</v>
      </c>
      <c r="C20" s="20">
        <f>260+220</f>
        <v>480</v>
      </c>
      <c r="D20" s="20">
        <v>478.24</v>
      </c>
      <c r="E20" s="4">
        <f t="shared" si="0"/>
        <v>1.7599999999999909</v>
      </c>
      <c r="F20" s="32">
        <f t="shared" si="1"/>
        <v>1.7599999999999909</v>
      </c>
    </row>
    <row r="21" spans="1:9" ht="36" customHeight="1">
      <c r="A21" s="18" t="s">
        <v>12</v>
      </c>
      <c r="B21" s="23">
        <v>3110</v>
      </c>
      <c r="C21" s="20">
        <f>36500+14000</f>
        <v>50500</v>
      </c>
      <c r="D21" s="20">
        <f>36372.83+14000</f>
        <v>50372.83</v>
      </c>
      <c r="E21" s="4">
        <f t="shared" si="0"/>
        <v>127.16999999999825</v>
      </c>
      <c r="F21" s="32">
        <f t="shared" si="1"/>
        <v>127.16999999999825</v>
      </c>
      <c r="H21" s="41"/>
    </row>
    <row r="22" spans="1:9" ht="37.5" hidden="1">
      <c r="A22" s="18" t="s">
        <v>20</v>
      </c>
      <c r="B22" s="23">
        <v>3122</v>
      </c>
      <c r="C22" s="20"/>
      <c r="D22" s="20"/>
      <c r="E22" s="4">
        <f t="shared" si="0"/>
        <v>0</v>
      </c>
      <c r="F22" s="32">
        <f t="shared" si="1"/>
        <v>0</v>
      </c>
      <c r="I22" t="s">
        <v>19</v>
      </c>
    </row>
    <row r="23" spans="1:9" ht="18.75" hidden="1">
      <c r="A23" s="18" t="s">
        <v>21</v>
      </c>
      <c r="B23" s="23">
        <v>3132</v>
      </c>
      <c r="C23" s="20"/>
      <c r="D23" s="20"/>
      <c r="E23" s="4">
        <f t="shared" si="0"/>
        <v>0</v>
      </c>
      <c r="F23" s="32">
        <f t="shared" si="1"/>
        <v>0</v>
      </c>
    </row>
    <row r="24" spans="1:9" ht="37.5" hidden="1">
      <c r="A24" s="36" t="s">
        <v>42</v>
      </c>
      <c r="B24" s="23">
        <v>3142</v>
      </c>
      <c r="C24" s="20"/>
      <c r="D24" s="20"/>
      <c r="E24" s="4">
        <f t="shared" si="0"/>
        <v>0</v>
      </c>
      <c r="F24" s="32">
        <f t="shared" si="1"/>
        <v>0</v>
      </c>
    </row>
    <row r="25" spans="1:9" ht="18.75">
      <c r="A25" s="18" t="s">
        <v>13</v>
      </c>
      <c r="B25" s="23"/>
      <c r="C25" s="21">
        <f>SUM(C7:C24)</f>
        <v>5400529.9000000004</v>
      </c>
      <c r="D25" s="21">
        <f>SUM(D7:D24)</f>
        <v>4986958.45</v>
      </c>
      <c r="E25" s="4">
        <f t="shared" si="0"/>
        <v>413571.45000000019</v>
      </c>
      <c r="F25" s="32">
        <f t="shared" si="1"/>
        <v>413571.45000000019</v>
      </c>
    </row>
    <row r="26" spans="1:9" ht="18.75">
      <c r="A26" s="13"/>
      <c r="B26" s="30"/>
      <c r="C26" s="15"/>
      <c r="D26" s="15"/>
    </row>
    <row r="27" spans="1:9" ht="18.75">
      <c r="A27" s="13"/>
      <c r="B27" s="30"/>
      <c r="C27" s="15"/>
      <c r="D27" s="15"/>
    </row>
    <row r="28" spans="1:9" ht="18.75">
      <c r="A28" s="13"/>
      <c r="B28" s="14"/>
      <c r="C28" s="15"/>
      <c r="D28" s="15"/>
    </row>
    <row r="29" spans="1:9" ht="32.25" customHeight="1">
      <c r="A29" s="56" t="s">
        <v>25</v>
      </c>
      <c r="B29" s="77"/>
      <c r="C29" s="77"/>
      <c r="D29" s="77"/>
    </row>
    <row r="30" spans="1:9" ht="18.75">
      <c r="A30" s="33"/>
      <c r="B30" s="34"/>
      <c r="C30" s="34"/>
      <c r="D30" s="35"/>
    </row>
    <row r="31" spans="1:9" ht="53.25" customHeight="1">
      <c r="A31" s="22" t="s">
        <v>0</v>
      </c>
      <c r="B31" s="22" t="s">
        <v>1</v>
      </c>
      <c r="C31" s="17" t="s">
        <v>23</v>
      </c>
      <c r="D31" s="17" t="s">
        <v>18</v>
      </c>
    </row>
    <row r="32" spans="1:9" ht="37.5">
      <c r="A32" s="18" t="s">
        <v>2</v>
      </c>
      <c r="B32" s="24">
        <v>2210</v>
      </c>
      <c r="C32" s="40">
        <v>750</v>
      </c>
      <c r="D32" s="20"/>
      <c r="F32" s="32"/>
    </row>
    <row r="33" spans="1:6" ht="18.75" hidden="1">
      <c r="A33" s="19" t="s">
        <v>3</v>
      </c>
      <c r="B33" s="24">
        <v>2230</v>
      </c>
      <c r="C33" s="40"/>
      <c r="D33" s="20"/>
      <c r="F33" s="32"/>
    </row>
    <row r="34" spans="1:6" ht="18.75" hidden="1">
      <c r="A34" s="19" t="s">
        <v>4</v>
      </c>
      <c r="B34" s="24">
        <v>2240</v>
      </c>
      <c r="C34" s="40"/>
      <c r="D34" s="20"/>
      <c r="F34" s="32"/>
    </row>
    <row r="35" spans="1:6" ht="18.75" hidden="1">
      <c r="A35" s="42" t="s">
        <v>10</v>
      </c>
      <c r="B35" s="48">
        <v>2275</v>
      </c>
      <c r="C35" s="40"/>
      <c r="D35" s="20"/>
      <c r="F35" s="32"/>
    </row>
    <row r="36" spans="1:6" ht="18.75" hidden="1">
      <c r="A36" s="18" t="s">
        <v>15</v>
      </c>
      <c r="B36" s="24">
        <v>2800</v>
      </c>
      <c r="C36" s="40"/>
      <c r="D36" s="20"/>
      <c r="F36" s="32"/>
    </row>
    <row r="37" spans="1:6" ht="37.5" hidden="1">
      <c r="A37" s="18" t="s">
        <v>12</v>
      </c>
      <c r="B37" s="24">
        <v>3110</v>
      </c>
      <c r="C37" s="20"/>
      <c r="D37" s="20"/>
      <c r="F37" s="32"/>
    </row>
    <row r="38" spans="1:6" ht="18.75" hidden="1">
      <c r="A38" s="25" t="s">
        <v>16</v>
      </c>
      <c r="B38" s="26">
        <v>3132</v>
      </c>
      <c r="C38" s="27"/>
      <c r="D38" s="27"/>
      <c r="F38" s="32"/>
    </row>
    <row r="39" spans="1:6" ht="18.75">
      <c r="A39" s="18" t="s">
        <v>13</v>
      </c>
      <c r="B39" s="24"/>
      <c r="C39" s="21">
        <f>SUM(C32:C38)</f>
        <v>750</v>
      </c>
      <c r="D39" s="21">
        <f>SUM(D32:D38)</f>
        <v>0</v>
      </c>
      <c r="F39" s="32"/>
    </row>
    <row r="40" spans="1:6">
      <c r="A40" s="1"/>
      <c r="B40" s="10"/>
      <c r="C40" s="4"/>
      <c r="D40" s="4"/>
    </row>
    <row r="41" spans="1:6" ht="33" customHeight="1">
      <c r="A41" s="58" t="s">
        <v>26</v>
      </c>
      <c r="B41" s="59"/>
      <c r="C41" s="59"/>
      <c r="D41" s="59"/>
    </row>
    <row r="42" spans="1:6">
      <c r="A42" s="1"/>
      <c r="B42" s="10"/>
      <c r="C42" s="4"/>
      <c r="D42" s="4"/>
    </row>
    <row r="43" spans="1:6" ht="75">
      <c r="A43" s="22" t="s">
        <v>0</v>
      </c>
      <c r="B43" s="22" t="s">
        <v>1</v>
      </c>
      <c r="C43" s="17" t="s">
        <v>23</v>
      </c>
      <c r="D43" s="17" t="s">
        <v>18</v>
      </c>
    </row>
    <row r="44" spans="1:6" ht="37.5">
      <c r="A44" s="18" t="s">
        <v>2</v>
      </c>
      <c r="B44" s="24">
        <v>2210</v>
      </c>
      <c r="C44" s="40">
        <f>1354.7+1253.43</f>
        <v>2608.13</v>
      </c>
      <c r="D44" s="40">
        <f>1354.7+1253.43</f>
        <v>2608.13</v>
      </c>
      <c r="F44" s="32"/>
    </row>
    <row r="45" spans="1:6" ht="18.75">
      <c r="A45" s="19" t="s">
        <v>3</v>
      </c>
      <c r="B45" s="24">
        <v>2230</v>
      </c>
      <c r="C45" s="40">
        <v>43644.160000000003</v>
      </c>
      <c r="D45" s="40">
        <v>43644.160000000003</v>
      </c>
      <c r="F45" s="32"/>
    </row>
    <row r="46" spans="1:6" ht="18.75" hidden="1">
      <c r="A46" s="19" t="s">
        <v>4</v>
      </c>
      <c r="B46" s="24">
        <v>2240</v>
      </c>
      <c r="C46" s="53"/>
      <c r="D46" s="53"/>
      <c r="F46" s="32"/>
    </row>
    <row r="47" spans="1:6" ht="18.75" hidden="1">
      <c r="A47" s="19" t="s">
        <v>10</v>
      </c>
      <c r="B47" s="24">
        <v>2275</v>
      </c>
      <c r="C47" s="53"/>
      <c r="D47" s="53"/>
      <c r="F47" s="32"/>
    </row>
    <row r="48" spans="1:6" ht="18.75" hidden="1">
      <c r="A48" s="18" t="s">
        <v>15</v>
      </c>
      <c r="B48" s="24">
        <v>2800</v>
      </c>
      <c r="C48" s="53"/>
      <c r="D48" s="53"/>
      <c r="F48" s="32"/>
    </row>
    <row r="49" spans="1:6" ht="37.5">
      <c r="A49" s="18" t="s">
        <v>12</v>
      </c>
      <c r="B49" s="24">
        <v>3110</v>
      </c>
      <c r="C49" s="40">
        <v>54976.54</v>
      </c>
      <c r="D49" s="40">
        <v>54976.54</v>
      </c>
      <c r="F49" s="32"/>
    </row>
    <row r="50" spans="1:6" ht="18.75" hidden="1">
      <c r="A50" s="25" t="s">
        <v>16</v>
      </c>
      <c r="B50" s="26">
        <v>3132</v>
      </c>
      <c r="C50" s="27"/>
      <c r="D50" s="27"/>
      <c r="F50" s="32"/>
    </row>
    <row r="51" spans="1:6" ht="18.75">
      <c r="A51" s="18" t="s">
        <v>13</v>
      </c>
      <c r="B51" s="24"/>
      <c r="C51" s="21">
        <f>C44+C45+C48+C49+C50</f>
        <v>101228.83</v>
      </c>
      <c r="D51" s="21">
        <f>D44+D45+D48+D49+D50</f>
        <v>101228.83</v>
      </c>
      <c r="F51" s="32"/>
    </row>
    <row r="54" spans="1:6" ht="33.75" customHeight="1">
      <c r="A54" s="58"/>
      <c r="B54" s="59"/>
      <c r="C54" s="59"/>
      <c r="D54" s="59"/>
    </row>
    <row r="55" spans="1:6" ht="37.5" customHeight="1">
      <c r="A55" s="79" t="s">
        <v>61</v>
      </c>
      <c r="B55" s="80"/>
      <c r="C55" s="80"/>
      <c r="D55" s="80"/>
    </row>
    <row r="56" spans="1:6" ht="18.75">
      <c r="A56" s="60" t="s">
        <v>27</v>
      </c>
      <c r="B56" s="61"/>
      <c r="C56" s="62" t="s">
        <v>28</v>
      </c>
      <c r="D56" s="61"/>
    </row>
    <row r="57" spans="1:6" ht="18.75" hidden="1">
      <c r="A57" s="42" t="s">
        <v>36</v>
      </c>
      <c r="B57" s="37">
        <v>2210</v>
      </c>
      <c r="C57" s="55"/>
      <c r="D57" s="55"/>
    </row>
    <row r="58" spans="1:6" ht="18.75" hidden="1">
      <c r="A58" s="42" t="s">
        <v>30</v>
      </c>
      <c r="B58" s="37">
        <v>2210</v>
      </c>
      <c r="C58" s="71"/>
      <c r="D58" s="72"/>
    </row>
    <row r="59" spans="1:6" ht="21.75" hidden="1" customHeight="1">
      <c r="A59" s="42" t="s">
        <v>33</v>
      </c>
      <c r="B59" s="37">
        <v>2210</v>
      </c>
      <c r="C59" s="71"/>
      <c r="D59" s="72"/>
    </row>
    <row r="60" spans="1:6" ht="18.75">
      <c r="A60" s="42" t="s">
        <v>38</v>
      </c>
      <c r="B60" s="38">
        <v>3110.221</v>
      </c>
      <c r="C60" s="65">
        <v>36090.839999999997</v>
      </c>
      <c r="D60" s="66"/>
    </row>
    <row r="61" spans="1:6" ht="18.75" hidden="1">
      <c r="A61" s="42" t="s">
        <v>29</v>
      </c>
      <c r="B61" s="37">
        <v>2210</v>
      </c>
      <c r="C61" s="71"/>
      <c r="D61" s="72"/>
    </row>
    <row r="62" spans="1:6" ht="18.75" hidden="1">
      <c r="A62" s="42" t="s">
        <v>31</v>
      </c>
      <c r="B62" s="37">
        <v>2210</v>
      </c>
      <c r="C62" s="71"/>
      <c r="D62" s="72"/>
    </row>
    <row r="63" spans="1:6" ht="18.75" hidden="1">
      <c r="A63" s="42" t="s">
        <v>37</v>
      </c>
      <c r="B63" s="37">
        <v>2210</v>
      </c>
      <c r="C63" s="71"/>
      <c r="D63" s="72"/>
    </row>
    <row r="64" spans="1:6" ht="18.75">
      <c r="A64" s="42" t="s">
        <v>32</v>
      </c>
      <c r="B64" s="37">
        <v>3110</v>
      </c>
      <c r="C64" s="65">
        <f>16144.45+518+2223.25</f>
        <v>18885.7</v>
      </c>
      <c r="D64" s="66"/>
    </row>
    <row r="65" spans="1:4" ht="18.75" hidden="1">
      <c r="A65" s="42" t="s">
        <v>34</v>
      </c>
      <c r="B65" s="37">
        <v>2210</v>
      </c>
      <c r="C65" s="67"/>
      <c r="D65" s="68"/>
    </row>
    <row r="66" spans="1:4" ht="18.75" hidden="1">
      <c r="A66" s="42" t="s">
        <v>35</v>
      </c>
      <c r="B66" s="37">
        <v>2210</v>
      </c>
      <c r="C66" s="67"/>
      <c r="D66" s="68"/>
    </row>
    <row r="67" spans="1:4" ht="18.75" hidden="1">
      <c r="A67" s="42" t="s">
        <v>47</v>
      </c>
      <c r="B67" s="37">
        <v>2240</v>
      </c>
      <c r="C67" s="67"/>
      <c r="D67" s="68"/>
    </row>
    <row r="68" spans="1:4" ht="18.75">
      <c r="A68" s="42" t="s">
        <v>39</v>
      </c>
      <c r="B68" s="37">
        <v>2230</v>
      </c>
      <c r="C68" s="65">
        <v>43644.160000000003</v>
      </c>
      <c r="D68" s="66"/>
    </row>
    <row r="69" spans="1:4" ht="18.75" hidden="1">
      <c r="A69" s="42" t="s">
        <v>40</v>
      </c>
      <c r="B69" s="37">
        <v>2210</v>
      </c>
      <c r="C69" s="67"/>
      <c r="D69" s="68"/>
    </row>
    <row r="70" spans="1:4" ht="18.75">
      <c r="A70" s="42" t="s">
        <v>46</v>
      </c>
      <c r="B70" s="37">
        <v>2210</v>
      </c>
      <c r="C70" s="65">
        <f>491.85+761.58</f>
        <v>1253.43</v>
      </c>
      <c r="D70" s="66"/>
    </row>
    <row r="71" spans="1:4" ht="18.75" hidden="1">
      <c r="A71" s="42" t="s">
        <v>44</v>
      </c>
      <c r="B71" s="37">
        <v>2210</v>
      </c>
      <c r="C71" s="65"/>
      <c r="D71" s="66"/>
    </row>
    <row r="72" spans="1:4" ht="18.75" hidden="1">
      <c r="A72" s="42" t="s">
        <v>43</v>
      </c>
      <c r="B72" s="37">
        <v>2210</v>
      </c>
      <c r="C72" s="65"/>
      <c r="D72" s="66"/>
    </row>
    <row r="73" spans="1:4" ht="18.75" hidden="1">
      <c r="A73" s="42" t="s">
        <v>45</v>
      </c>
      <c r="B73" s="43">
        <v>2210</v>
      </c>
      <c r="C73" s="65"/>
      <c r="D73" s="66"/>
    </row>
    <row r="74" spans="1:4" ht="18.75">
      <c r="A74" s="63"/>
      <c r="B74" s="64"/>
      <c r="C74" s="65"/>
      <c r="D74" s="66"/>
    </row>
    <row r="75" spans="1:4" ht="18.75">
      <c r="A75" s="63"/>
      <c r="B75" s="64"/>
      <c r="C75" s="69">
        <f>SUM(C57:D74)</f>
        <v>99874.12999999999</v>
      </c>
      <c r="D75" s="70"/>
    </row>
    <row r="78" spans="1:4" ht="35.25" customHeight="1">
      <c r="A78" s="58" t="s">
        <v>50</v>
      </c>
      <c r="B78" s="59"/>
      <c r="C78" s="59"/>
      <c r="D78" s="59"/>
    </row>
  </sheetData>
  <mergeCells count="31">
    <mergeCell ref="C63:D63"/>
    <mergeCell ref="A3:D3"/>
    <mergeCell ref="A2:D2"/>
    <mergeCell ref="A5:D5"/>
    <mergeCell ref="C57:D57"/>
    <mergeCell ref="C60:D60"/>
    <mergeCell ref="C61:D61"/>
    <mergeCell ref="C62:D62"/>
    <mergeCell ref="A29:D29"/>
    <mergeCell ref="A41:D41"/>
    <mergeCell ref="A54:D54"/>
    <mergeCell ref="A56:B56"/>
    <mergeCell ref="C56:D56"/>
    <mergeCell ref="C58:D58"/>
    <mergeCell ref="C59:D59"/>
    <mergeCell ref="A55:D55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A78:D78"/>
    <mergeCell ref="A74:B74"/>
    <mergeCell ref="C74:D74"/>
    <mergeCell ref="A75:B75"/>
    <mergeCell ref="C75:D7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I76"/>
  <sheetViews>
    <sheetView workbookViewId="0">
      <selection activeCell="A2" sqref="A2:D2"/>
    </sheetView>
  </sheetViews>
  <sheetFormatPr defaultRowHeight="15"/>
  <cols>
    <col min="1" max="1" width="40.875" style="3" customWidth="1"/>
    <col min="2" max="2" width="9.125" style="1" customWidth="1"/>
    <col min="3" max="3" width="19.5" customWidth="1"/>
    <col min="4" max="4" width="14.75" customWidth="1"/>
    <col min="5" max="5" width="10.5" hidden="1" customWidth="1"/>
    <col min="6" max="6" width="10.75" hidden="1" customWidth="1"/>
  </cols>
  <sheetData>
    <row r="2" spans="1:6" ht="60" customHeight="1">
      <c r="A2" s="56" t="s">
        <v>60</v>
      </c>
      <c r="B2" s="57"/>
      <c r="C2" s="57"/>
      <c r="D2" s="57"/>
    </row>
    <row r="3" spans="1:6" ht="81.75" customHeight="1">
      <c r="A3" s="73" t="s">
        <v>57</v>
      </c>
      <c r="B3" s="74"/>
      <c r="C3" s="74"/>
      <c r="D3" s="74"/>
    </row>
    <row r="4" spans="1:6" ht="18.75">
      <c r="A4" s="13"/>
      <c r="B4" s="14"/>
      <c r="C4" s="15"/>
      <c r="D4" s="15"/>
    </row>
    <row r="5" spans="1:6" ht="39" customHeight="1">
      <c r="A5" s="75" t="s">
        <v>24</v>
      </c>
      <c r="B5" s="78"/>
      <c r="C5" s="78"/>
      <c r="D5" s="78"/>
    </row>
    <row r="6" spans="1:6" s="2" customFormat="1" ht="73.5" customHeight="1">
      <c r="A6" s="16" t="s">
        <v>0</v>
      </c>
      <c r="B6" s="16" t="s">
        <v>1</v>
      </c>
      <c r="C6" s="17" t="s">
        <v>23</v>
      </c>
      <c r="D6" s="17" t="s">
        <v>17</v>
      </c>
    </row>
    <row r="7" spans="1:6" s="2" customFormat="1" ht="18.75">
      <c r="A7" s="28" t="s">
        <v>22</v>
      </c>
      <c r="B7" s="23">
        <v>2111</v>
      </c>
      <c r="C7" s="31">
        <f>4110790+34920+67550</f>
        <v>4213260</v>
      </c>
      <c r="D7" s="31">
        <f>3173023.3+113353.24+68508.8</f>
        <v>3354885.34</v>
      </c>
      <c r="E7" s="4">
        <f>C7-D7</f>
        <v>858374.66000000015</v>
      </c>
      <c r="F7" s="32">
        <f>C7-D7</f>
        <v>858374.66000000015</v>
      </c>
    </row>
    <row r="8" spans="1:6" s="2" customFormat="1" ht="18.75">
      <c r="A8" s="28" t="s">
        <v>41</v>
      </c>
      <c r="B8" s="23">
        <v>2120</v>
      </c>
      <c r="C8" s="31">
        <f>904240+7680+14860</f>
        <v>926780</v>
      </c>
      <c r="D8" s="31">
        <f>683872.06+28716.49+15071.95</f>
        <v>727660.5</v>
      </c>
      <c r="E8" s="4">
        <f t="shared" ref="E8:E25" si="0">C8-D8</f>
        <v>199119.5</v>
      </c>
      <c r="F8" s="32">
        <f t="shared" ref="F8:F25" si="1">C8-D8</f>
        <v>199119.5</v>
      </c>
    </row>
    <row r="9" spans="1:6" ht="37.5">
      <c r="A9" s="18" t="s">
        <v>2</v>
      </c>
      <c r="B9" s="19">
        <v>2210</v>
      </c>
      <c r="C9" s="20">
        <f>29588.9+89000</f>
        <v>118588.9</v>
      </c>
      <c r="D9" s="20">
        <f>48702.7+69850.8</f>
        <v>118553.5</v>
      </c>
      <c r="E9" s="4">
        <f t="shared" si="0"/>
        <v>35.399999999994179</v>
      </c>
      <c r="F9" s="32">
        <f t="shared" si="1"/>
        <v>35.399999999994179</v>
      </c>
    </row>
    <row r="10" spans="1:6" ht="18.75">
      <c r="A10" s="18" t="s">
        <v>3</v>
      </c>
      <c r="B10" s="19">
        <v>2230</v>
      </c>
      <c r="C10" s="20">
        <f>82970+109770+65000</f>
        <v>257740</v>
      </c>
      <c r="D10" s="20">
        <v>226087.36</v>
      </c>
      <c r="E10" s="4">
        <f t="shared" si="0"/>
        <v>31652.640000000014</v>
      </c>
      <c r="F10" s="32">
        <f t="shared" si="1"/>
        <v>31652.640000000014</v>
      </c>
    </row>
    <row r="11" spans="1:6" ht="18.75">
      <c r="A11" s="18" t="s">
        <v>4</v>
      </c>
      <c r="B11" s="19">
        <v>2240</v>
      </c>
      <c r="C11" s="20">
        <f>203479+170000</f>
        <v>373479</v>
      </c>
      <c r="D11" s="20">
        <v>372965.92</v>
      </c>
      <c r="E11" s="4">
        <f t="shared" si="0"/>
        <v>513.0800000000163</v>
      </c>
      <c r="F11" s="32">
        <f t="shared" si="1"/>
        <v>513.0800000000163</v>
      </c>
    </row>
    <row r="12" spans="1:6" ht="18.75">
      <c r="A12" s="18" t="s">
        <v>5</v>
      </c>
      <c r="B12" s="19">
        <v>2250</v>
      </c>
      <c r="C12" s="20">
        <v>1320</v>
      </c>
      <c r="D12" s="20">
        <v>1320</v>
      </c>
      <c r="E12" s="4">
        <f t="shared" si="0"/>
        <v>0</v>
      </c>
      <c r="F12" s="32">
        <f t="shared" si="1"/>
        <v>0</v>
      </c>
    </row>
    <row r="13" spans="1:6" ht="18.75">
      <c r="A13" s="18" t="s">
        <v>6</v>
      </c>
      <c r="B13" s="19">
        <v>2271</v>
      </c>
      <c r="C13" s="20">
        <v>1139257</v>
      </c>
      <c r="D13" s="20">
        <v>1100781.56</v>
      </c>
      <c r="E13" s="4">
        <f t="shared" si="0"/>
        <v>38475.439999999944</v>
      </c>
      <c r="F13" s="32">
        <f t="shared" si="1"/>
        <v>38475.439999999944</v>
      </c>
    </row>
    <row r="14" spans="1:6" ht="37.5">
      <c r="A14" s="18" t="s">
        <v>7</v>
      </c>
      <c r="B14" s="19">
        <v>2272</v>
      </c>
      <c r="C14" s="20">
        <f>5875+6500</f>
        <v>12375</v>
      </c>
      <c r="D14" s="20">
        <v>12362.8</v>
      </c>
      <c r="E14" s="4">
        <f t="shared" si="0"/>
        <v>12.200000000000728</v>
      </c>
      <c r="F14" s="32">
        <f t="shared" si="1"/>
        <v>12.200000000000728</v>
      </c>
    </row>
    <row r="15" spans="1:6" ht="18.75">
      <c r="A15" s="18" t="s">
        <v>8</v>
      </c>
      <c r="B15" s="19">
        <v>2273</v>
      </c>
      <c r="C15" s="20">
        <f>41150+25000</f>
        <v>66150</v>
      </c>
      <c r="D15" s="20">
        <v>66139.27</v>
      </c>
      <c r="E15" s="4">
        <f t="shared" si="0"/>
        <v>10.729999999995925</v>
      </c>
      <c r="F15" s="32">
        <f t="shared" si="1"/>
        <v>10.729999999995925</v>
      </c>
    </row>
    <row r="16" spans="1:6" ht="18.75" hidden="1">
      <c r="A16" s="18" t="s">
        <v>9</v>
      </c>
      <c r="B16" s="19">
        <v>2274</v>
      </c>
      <c r="C16" s="20"/>
      <c r="D16" s="20"/>
      <c r="E16" s="4">
        <f t="shared" si="0"/>
        <v>0</v>
      </c>
      <c r="F16" s="32">
        <f t="shared" si="1"/>
        <v>0</v>
      </c>
    </row>
    <row r="17" spans="1:9" ht="18.75" hidden="1">
      <c r="A17" s="18" t="s">
        <v>10</v>
      </c>
      <c r="B17" s="19">
        <v>2275</v>
      </c>
      <c r="C17" s="20"/>
      <c r="D17" s="20"/>
      <c r="E17" s="4">
        <f t="shared" si="0"/>
        <v>0</v>
      </c>
      <c r="F17" s="32">
        <f t="shared" si="1"/>
        <v>0</v>
      </c>
    </row>
    <row r="18" spans="1:9" ht="34.5" customHeight="1">
      <c r="A18" s="18" t="s">
        <v>11</v>
      </c>
      <c r="B18" s="19">
        <v>2282</v>
      </c>
      <c r="C18" s="20">
        <v>1700</v>
      </c>
      <c r="D18" s="20">
        <v>1693.7</v>
      </c>
      <c r="E18" s="4">
        <f t="shared" si="0"/>
        <v>6.2999999999999545</v>
      </c>
      <c r="F18" s="32">
        <f t="shared" si="1"/>
        <v>6.2999999999999545</v>
      </c>
    </row>
    <row r="19" spans="1:9" ht="18" hidden="1" customHeight="1">
      <c r="A19" s="18" t="s">
        <v>14</v>
      </c>
      <c r="B19" s="19">
        <v>2730</v>
      </c>
      <c r="C19" s="20"/>
      <c r="D19" s="20"/>
      <c r="E19" s="4">
        <f t="shared" si="0"/>
        <v>0</v>
      </c>
      <c r="F19" s="32">
        <f t="shared" si="1"/>
        <v>0</v>
      </c>
    </row>
    <row r="20" spans="1:9" ht="15.75" customHeight="1">
      <c r="A20" s="18" t="s">
        <v>15</v>
      </c>
      <c r="B20" s="19">
        <v>2800</v>
      </c>
      <c r="C20" s="20">
        <v>40</v>
      </c>
      <c r="D20" s="20">
        <v>39.81</v>
      </c>
      <c r="E20" s="4">
        <f t="shared" si="0"/>
        <v>0.18999999999999773</v>
      </c>
      <c r="F20" s="32">
        <f t="shared" si="1"/>
        <v>0.18999999999999773</v>
      </c>
    </row>
    <row r="21" spans="1:9" ht="38.25" customHeight="1">
      <c r="A21" s="18" t="s">
        <v>12</v>
      </c>
      <c r="B21" s="19">
        <v>3110</v>
      </c>
      <c r="C21" s="20">
        <f>51300+14000</f>
        <v>65300</v>
      </c>
      <c r="D21" s="20">
        <f>51249.83+14000</f>
        <v>65249.83</v>
      </c>
      <c r="E21" s="4">
        <f t="shared" si="0"/>
        <v>50.169999999998254</v>
      </c>
      <c r="F21" s="32">
        <f t="shared" si="1"/>
        <v>50.169999999998254</v>
      </c>
      <c r="H21" s="41"/>
    </row>
    <row r="22" spans="1:9" ht="37.5" hidden="1">
      <c r="A22" s="18" t="s">
        <v>20</v>
      </c>
      <c r="B22" s="19">
        <v>3122</v>
      </c>
      <c r="C22" s="20"/>
      <c r="D22" s="20"/>
      <c r="E22" s="4">
        <f t="shared" si="0"/>
        <v>0</v>
      </c>
      <c r="F22" s="32">
        <f t="shared" si="1"/>
        <v>0</v>
      </c>
      <c r="I22" t="s">
        <v>19</v>
      </c>
    </row>
    <row r="23" spans="1:9" ht="18.75" hidden="1">
      <c r="A23" s="18" t="s">
        <v>21</v>
      </c>
      <c r="B23" s="19">
        <v>3132</v>
      </c>
      <c r="C23" s="40"/>
      <c r="D23" s="20"/>
      <c r="E23" s="4">
        <f t="shared" si="0"/>
        <v>0</v>
      </c>
      <c r="F23" s="32">
        <f t="shared" si="1"/>
        <v>0</v>
      </c>
    </row>
    <row r="24" spans="1:9" ht="37.5" hidden="1">
      <c r="A24" s="36" t="s">
        <v>42</v>
      </c>
      <c r="B24" s="19">
        <v>3142</v>
      </c>
      <c r="C24" s="20"/>
      <c r="D24" s="20"/>
      <c r="E24" s="4">
        <f t="shared" si="0"/>
        <v>0</v>
      </c>
      <c r="F24" s="32">
        <f t="shared" si="1"/>
        <v>0</v>
      </c>
    </row>
    <row r="25" spans="1:9" ht="18.75">
      <c r="A25" s="18" t="s">
        <v>13</v>
      </c>
      <c r="B25" s="19"/>
      <c r="C25" s="21">
        <f>SUM(C7:C24)</f>
        <v>7175989.9000000004</v>
      </c>
      <c r="D25" s="21">
        <f>SUM(D7:D24)</f>
        <v>6047739.5899999989</v>
      </c>
      <c r="E25" s="4">
        <f t="shared" si="0"/>
        <v>1128250.3100000015</v>
      </c>
      <c r="F25" s="32">
        <f t="shared" si="1"/>
        <v>1128250.3100000015</v>
      </c>
    </row>
    <row r="26" spans="1:9">
      <c r="C26" s="4"/>
      <c r="D26" s="4"/>
    </row>
    <row r="28" spans="1:9" ht="31.5" customHeight="1">
      <c r="A28" s="56" t="s">
        <v>25</v>
      </c>
      <c r="B28" s="77"/>
      <c r="C28" s="77"/>
      <c r="D28" s="77"/>
    </row>
    <row r="29" spans="1:9">
      <c r="D29" s="35"/>
    </row>
    <row r="30" spans="1:9" ht="75">
      <c r="A30" s="22" t="s">
        <v>0</v>
      </c>
      <c r="B30" s="22" t="s">
        <v>1</v>
      </c>
      <c r="C30" s="17" t="s">
        <v>23</v>
      </c>
      <c r="D30" s="17" t="s">
        <v>18</v>
      </c>
    </row>
    <row r="31" spans="1:9" ht="37.5">
      <c r="A31" s="18" t="s">
        <v>2</v>
      </c>
      <c r="B31" s="24">
        <v>2210</v>
      </c>
      <c r="C31" s="40">
        <v>6000</v>
      </c>
      <c r="D31" s="40">
        <v>5972.2</v>
      </c>
      <c r="F31" s="32"/>
    </row>
    <row r="32" spans="1:9" ht="18.75" hidden="1">
      <c r="A32" s="19" t="s">
        <v>3</v>
      </c>
      <c r="B32" s="24">
        <v>2230</v>
      </c>
      <c r="C32" s="40"/>
      <c r="D32" s="53"/>
      <c r="F32" s="32"/>
    </row>
    <row r="33" spans="1:6" ht="18.75" hidden="1">
      <c r="A33" s="19" t="s">
        <v>4</v>
      </c>
      <c r="B33" s="24">
        <v>2240</v>
      </c>
      <c r="C33" s="40"/>
      <c r="D33" s="53"/>
      <c r="F33" s="32"/>
    </row>
    <row r="34" spans="1:6" ht="18.75" hidden="1">
      <c r="A34" s="42" t="s">
        <v>10</v>
      </c>
      <c r="B34" s="48">
        <v>2275</v>
      </c>
      <c r="C34" s="40"/>
      <c r="D34" s="20"/>
      <c r="F34" s="32"/>
    </row>
    <row r="35" spans="1:6" ht="18.75" hidden="1">
      <c r="A35" s="18" t="s">
        <v>15</v>
      </c>
      <c r="B35" s="24">
        <v>2800</v>
      </c>
      <c r="C35" s="20"/>
      <c r="D35" s="20"/>
      <c r="F35" s="32"/>
    </row>
    <row r="36" spans="1:6" ht="37.5" hidden="1">
      <c r="A36" s="18" t="s">
        <v>12</v>
      </c>
      <c r="B36" s="24">
        <v>3110</v>
      </c>
      <c r="C36" s="20"/>
      <c r="D36" s="20"/>
      <c r="F36" s="32"/>
    </row>
    <row r="37" spans="1:6" ht="18.75" hidden="1">
      <c r="A37" s="25" t="s">
        <v>16</v>
      </c>
      <c r="B37" s="26">
        <v>3132</v>
      </c>
      <c r="C37" s="27"/>
      <c r="D37" s="27"/>
      <c r="F37" s="32"/>
    </row>
    <row r="38" spans="1:6" ht="18.75">
      <c r="A38" s="18" t="s">
        <v>13</v>
      </c>
      <c r="B38" s="24"/>
      <c r="C38" s="21">
        <f>SUM(C31:C37)</f>
        <v>6000</v>
      </c>
      <c r="D38" s="21">
        <f>SUM(D31:D37)</f>
        <v>5972.2</v>
      </c>
      <c r="F38" s="32"/>
    </row>
    <row r="39" spans="1:6">
      <c r="A39" s="1"/>
      <c r="B39" s="10"/>
      <c r="C39" s="4"/>
      <c r="D39" s="4"/>
    </row>
    <row r="40" spans="1:6">
      <c r="A40" s="1"/>
      <c r="B40" s="10"/>
      <c r="C40" s="4"/>
      <c r="D40" s="4"/>
    </row>
    <row r="41" spans="1:6" ht="34.5" customHeight="1">
      <c r="A41" s="58" t="s">
        <v>26</v>
      </c>
      <c r="B41" s="59"/>
      <c r="C41" s="59"/>
      <c r="D41" s="59"/>
    </row>
    <row r="42" spans="1:6">
      <c r="A42" s="1"/>
      <c r="B42" s="10"/>
      <c r="C42" s="4"/>
      <c r="D42" s="4"/>
    </row>
    <row r="43" spans="1:6" ht="75">
      <c r="A43" s="22" t="s">
        <v>0</v>
      </c>
      <c r="B43" s="22" t="s">
        <v>1</v>
      </c>
      <c r="C43" s="17" t="s">
        <v>23</v>
      </c>
      <c r="D43" s="17" t="s">
        <v>18</v>
      </c>
    </row>
    <row r="44" spans="1:6" ht="37.5">
      <c r="A44" s="18" t="s">
        <v>2</v>
      </c>
      <c r="B44" s="24">
        <v>2210</v>
      </c>
      <c r="C44" s="40">
        <v>24339.71</v>
      </c>
      <c r="D44" s="40">
        <v>24339.71</v>
      </c>
      <c r="F44" s="32"/>
    </row>
    <row r="45" spans="1:6" ht="18.75">
      <c r="A45" s="19" t="s">
        <v>3</v>
      </c>
      <c r="B45" s="24">
        <v>2230</v>
      </c>
      <c r="C45" s="40">
        <v>39186.67</v>
      </c>
      <c r="D45" s="40">
        <v>39186.67</v>
      </c>
      <c r="F45" s="32"/>
    </row>
    <row r="46" spans="1:6" ht="18.75" hidden="1">
      <c r="A46" s="19" t="s">
        <v>4</v>
      </c>
      <c r="B46" s="24">
        <v>2240</v>
      </c>
      <c r="C46" s="40"/>
      <c r="D46" s="40"/>
      <c r="F46" s="32"/>
    </row>
    <row r="47" spans="1:6" ht="18.75" hidden="1">
      <c r="A47" s="19" t="s">
        <v>10</v>
      </c>
      <c r="B47" s="24">
        <v>2275</v>
      </c>
      <c r="C47" s="40"/>
      <c r="D47" s="40"/>
      <c r="F47" s="32"/>
    </row>
    <row r="48" spans="1:6" ht="18.75" hidden="1">
      <c r="A48" s="18" t="s">
        <v>15</v>
      </c>
      <c r="B48" s="24">
        <v>2800</v>
      </c>
      <c r="C48" s="40"/>
      <c r="D48" s="40"/>
      <c r="F48" s="32"/>
    </row>
    <row r="49" spans="1:6" ht="37.5">
      <c r="A49" s="18" t="s">
        <v>12</v>
      </c>
      <c r="B49" s="24">
        <v>3110</v>
      </c>
      <c r="C49" s="40">
        <v>63146.2</v>
      </c>
      <c r="D49" s="40">
        <v>63146.2</v>
      </c>
      <c r="F49" s="32"/>
    </row>
    <row r="50" spans="1:6" ht="18.75" hidden="1">
      <c r="A50" s="25" t="s">
        <v>16</v>
      </c>
      <c r="B50" s="26">
        <v>3132</v>
      </c>
      <c r="C50" s="27"/>
      <c r="D50" s="27"/>
      <c r="F50" s="32"/>
    </row>
    <row r="51" spans="1:6" ht="18.75">
      <c r="A51" s="18" t="s">
        <v>13</v>
      </c>
      <c r="B51" s="24"/>
      <c r="C51" s="21">
        <f>C44+C45+C48+C49+C50</f>
        <v>126672.57999999999</v>
      </c>
      <c r="D51" s="21">
        <f>D44+D45+D48+D49+D50</f>
        <v>126672.57999999999</v>
      </c>
      <c r="F51" s="32"/>
    </row>
    <row r="55" spans="1:6" ht="34.5" customHeight="1">
      <c r="A55" s="58" t="s">
        <v>61</v>
      </c>
      <c r="B55" s="59"/>
      <c r="C55" s="59"/>
      <c r="D55" s="59"/>
    </row>
    <row r="57" spans="1:6" ht="18.75">
      <c r="A57" s="60" t="s">
        <v>27</v>
      </c>
      <c r="B57" s="61"/>
      <c r="C57" s="62" t="s">
        <v>28</v>
      </c>
      <c r="D57" s="61"/>
    </row>
    <row r="58" spans="1:6" ht="18.75">
      <c r="A58" s="42" t="s">
        <v>36</v>
      </c>
      <c r="B58" s="37">
        <v>2210</v>
      </c>
      <c r="C58" s="81">
        <f>1180+540+1120</f>
        <v>2840</v>
      </c>
      <c r="D58" s="81"/>
    </row>
    <row r="59" spans="1:6" ht="18.75" hidden="1">
      <c r="A59" s="42" t="s">
        <v>30</v>
      </c>
      <c r="B59" s="37">
        <v>2210</v>
      </c>
      <c r="C59" s="67"/>
      <c r="D59" s="68"/>
    </row>
    <row r="60" spans="1:6" ht="18.75">
      <c r="A60" s="42" t="s">
        <v>33</v>
      </c>
      <c r="B60" s="37">
        <v>2210</v>
      </c>
      <c r="C60" s="65">
        <v>6800</v>
      </c>
      <c r="D60" s="66"/>
    </row>
    <row r="61" spans="1:6" ht="18.75">
      <c r="A61" s="42" t="s">
        <v>38</v>
      </c>
      <c r="B61" s="38">
        <v>3110.221</v>
      </c>
      <c r="C61" s="65">
        <v>36090.839999999997</v>
      </c>
      <c r="D61" s="66"/>
    </row>
    <row r="62" spans="1:6" ht="18.75">
      <c r="A62" s="42" t="s">
        <v>29</v>
      </c>
      <c r="B62" s="37">
        <v>2210</v>
      </c>
      <c r="C62" s="65">
        <v>1566.28</v>
      </c>
      <c r="D62" s="66"/>
    </row>
    <row r="63" spans="1:6" ht="18.75" hidden="1">
      <c r="A63" s="42" t="s">
        <v>31</v>
      </c>
      <c r="B63" s="37">
        <v>2210</v>
      </c>
      <c r="C63" s="67"/>
      <c r="D63" s="68"/>
    </row>
    <row r="64" spans="1:6" ht="18.75">
      <c r="A64" s="42" t="s">
        <v>37</v>
      </c>
      <c r="B64" s="37">
        <v>2210</v>
      </c>
      <c r="C64" s="65">
        <f>1550+3200</f>
        <v>4750</v>
      </c>
      <c r="D64" s="66"/>
    </row>
    <row r="65" spans="1:4" ht="18.75">
      <c r="A65" s="42" t="s">
        <v>32</v>
      </c>
      <c r="B65" s="37">
        <v>3110</v>
      </c>
      <c r="C65" s="65">
        <f>20390.8+6664.56</f>
        <v>27055.360000000001</v>
      </c>
      <c r="D65" s="66"/>
    </row>
    <row r="66" spans="1:4" ht="18.75">
      <c r="A66" s="42" t="s">
        <v>34</v>
      </c>
      <c r="B66" s="37">
        <v>2210</v>
      </c>
      <c r="C66" s="65">
        <f>770+400</f>
        <v>1170</v>
      </c>
      <c r="D66" s="66"/>
    </row>
    <row r="67" spans="1:4" ht="18.75" hidden="1">
      <c r="A67" s="42" t="s">
        <v>35</v>
      </c>
      <c r="B67" s="37">
        <v>2210</v>
      </c>
      <c r="C67" s="67"/>
      <c r="D67" s="68"/>
    </row>
    <row r="68" spans="1:4" ht="18.75" hidden="1">
      <c r="A68" s="42" t="s">
        <v>47</v>
      </c>
      <c r="B68" s="37">
        <v>2240</v>
      </c>
      <c r="C68" s="67"/>
      <c r="D68" s="68"/>
    </row>
    <row r="69" spans="1:4" ht="18.75">
      <c r="A69" s="42" t="s">
        <v>39</v>
      </c>
      <c r="B69" s="37">
        <v>2230</v>
      </c>
      <c r="C69" s="65">
        <v>39186.67</v>
      </c>
      <c r="D69" s="66"/>
    </row>
    <row r="70" spans="1:4" ht="18.75" hidden="1">
      <c r="A70" s="42" t="s">
        <v>40</v>
      </c>
      <c r="B70" s="37">
        <v>2210</v>
      </c>
      <c r="C70" s="67"/>
      <c r="D70" s="68"/>
    </row>
    <row r="71" spans="1:4" ht="18.75">
      <c r="A71" s="42" t="s">
        <v>48</v>
      </c>
      <c r="B71" s="44">
        <v>2210.3110000000001</v>
      </c>
      <c r="C71" s="65">
        <f>491.85+6721.58</f>
        <v>7213.43</v>
      </c>
      <c r="D71" s="66"/>
    </row>
    <row r="72" spans="1:4" ht="18.75" hidden="1">
      <c r="A72" s="42" t="s">
        <v>44</v>
      </c>
      <c r="B72" s="37">
        <v>2210</v>
      </c>
      <c r="C72" s="65"/>
      <c r="D72" s="66"/>
    </row>
    <row r="73" spans="1:4" ht="18.75" hidden="1">
      <c r="A73" s="42" t="s">
        <v>43</v>
      </c>
      <c r="B73" s="37">
        <v>2210</v>
      </c>
      <c r="C73" s="65"/>
      <c r="D73" s="66"/>
    </row>
    <row r="74" spans="1:4" ht="18.75" hidden="1">
      <c r="A74" s="42" t="s">
        <v>45</v>
      </c>
      <c r="B74" s="43">
        <v>2210</v>
      </c>
      <c r="C74" s="65"/>
      <c r="D74" s="66"/>
    </row>
    <row r="75" spans="1:4" ht="18.75">
      <c r="A75" s="63"/>
      <c r="B75" s="64"/>
      <c r="C75" s="65"/>
      <c r="D75" s="66"/>
    </row>
    <row r="76" spans="1:4" ht="18.75">
      <c r="A76" s="63"/>
      <c r="B76" s="64"/>
      <c r="C76" s="69">
        <f>SUM(C58:D75)</f>
        <v>126672.57999999999</v>
      </c>
      <c r="D76" s="70"/>
    </row>
  </sheetData>
  <mergeCells count="29">
    <mergeCell ref="A57:B57"/>
    <mergeCell ref="C57:D57"/>
    <mergeCell ref="C58:D58"/>
    <mergeCell ref="A2:D2"/>
    <mergeCell ref="A5:D5"/>
    <mergeCell ref="A28:D28"/>
    <mergeCell ref="A41:D41"/>
    <mergeCell ref="A55:D55"/>
    <mergeCell ref="A3:D3"/>
    <mergeCell ref="C62:D62"/>
    <mergeCell ref="C68:D68"/>
    <mergeCell ref="C59:D59"/>
    <mergeCell ref="C60:D60"/>
    <mergeCell ref="C73:D73"/>
    <mergeCell ref="C71:D71"/>
    <mergeCell ref="C72:D72"/>
    <mergeCell ref="C67:D67"/>
    <mergeCell ref="C65:D65"/>
    <mergeCell ref="C63:D63"/>
    <mergeCell ref="C64:D64"/>
    <mergeCell ref="C66:D66"/>
    <mergeCell ref="C69:D69"/>
    <mergeCell ref="C70:D70"/>
    <mergeCell ref="C61:D61"/>
    <mergeCell ref="C74:D74"/>
    <mergeCell ref="A75:B75"/>
    <mergeCell ref="C75:D75"/>
    <mergeCell ref="A76:B76"/>
    <mergeCell ref="C76:D76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70"/>
  <sheetViews>
    <sheetView workbookViewId="0">
      <selection activeCell="A56" sqref="A56"/>
    </sheetView>
  </sheetViews>
  <sheetFormatPr defaultRowHeight="15"/>
  <sheetData>
    <row r="2" spans="1:1" ht="18.75">
      <c r="A2" s="14" t="s">
        <v>58</v>
      </c>
    </row>
    <row r="3" spans="1:1" ht="19.5">
      <c r="A3" s="52" t="s">
        <v>51</v>
      </c>
    </row>
    <row r="31" spans="4:4">
      <c r="D31">
        <v>8856.44</v>
      </c>
    </row>
    <row r="44" spans="4:4">
      <c r="D44">
        <f>C70</f>
        <v>13055.95</v>
      </c>
    </row>
    <row r="48" spans="4:4">
      <c r="D48">
        <f>C66</f>
        <v>3665.01</v>
      </c>
    </row>
    <row r="53" spans="1:1" ht="18.75">
      <c r="A53" s="14" t="s">
        <v>49</v>
      </c>
    </row>
    <row r="55" spans="1:1" ht="18.75">
      <c r="A55" s="14" t="s">
        <v>59</v>
      </c>
    </row>
    <row r="66" spans="3:3">
      <c r="C66">
        <v>3665.01</v>
      </c>
    </row>
    <row r="70" spans="3:3">
      <c r="C70">
        <v>13055.95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Бутівський НВК</vt:lpstr>
      <vt:lpstr>Войнівська ЗШ І-ІІІ ст</vt:lpstr>
      <vt:lpstr>Головківський НВК</vt:lpstr>
      <vt:lpstr>Ізмайлівська ЗШ І-ІІІ ст</vt:lpstr>
      <vt:lpstr>Користівська ЗШ ІІІІ ст</vt:lpstr>
      <vt:lpstr>Протопопівська ЗШ І-ІІІ ст</vt:lpstr>
      <vt:lpstr>Цукрозаводський НВК </vt:lpstr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2020-01-10T10:52:17Z</cp:lastPrinted>
  <dcterms:created xsi:type="dcterms:W3CDTF">2017-11-02T06:22:39Z</dcterms:created>
  <dcterms:modified xsi:type="dcterms:W3CDTF">2020-01-14T09:57:32Z</dcterms:modified>
</cp:coreProperties>
</file>