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 firstSheet="8" activeTab="11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  <sheet name="Лист1" sheetId="51" r:id="rId13"/>
  </sheets>
  <calcPr calcId="125725"/>
</workbook>
</file>

<file path=xl/calcChain.xml><?xml version="1.0" encoding="utf-8"?>
<calcChain xmlns="http://schemas.openxmlformats.org/spreadsheetml/2006/main">
  <c r="C69" i="48"/>
  <c r="C44"/>
  <c r="C32"/>
  <c r="C58" i="44"/>
  <c r="C31"/>
  <c r="C59" i="42"/>
  <c r="C45"/>
  <c r="C69" i="38"/>
  <c r="C45"/>
  <c r="C31" i="34"/>
  <c r="C45"/>
  <c r="C31" i="33"/>
  <c r="C45" i="31"/>
  <c r="C32"/>
  <c r="C31"/>
  <c r="C32" i="30"/>
  <c r="C46"/>
  <c r="C62" i="28"/>
  <c r="C45"/>
  <c r="D9"/>
  <c r="C12" i="48"/>
  <c r="C11"/>
  <c r="C9"/>
  <c r="C8"/>
  <c r="C7"/>
  <c r="C9" i="44"/>
  <c r="C8"/>
  <c r="C7"/>
  <c r="C7" i="39"/>
  <c r="C17" i="38"/>
  <c r="C11"/>
  <c r="C9"/>
  <c r="C8"/>
  <c r="C7"/>
  <c r="C9" i="31"/>
  <c r="C7" i="34"/>
  <c r="C11"/>
  <c r="C9"/>
  <c r="C8"/>
  <c r="C8" i="33"/>
  <c r="C7"/>
  <c r="C11" i="31"/>
  <c r="C8"/>
  <c r="C7"/>
  <c r="C17" i="30"/>
  <c r="C15"/>
  <c r="C11"/>
  <c r="C9"/>
  <c r="C8"/>
  <c r="C7"/>
  <c r="D22" i="39"/>
  <c r="D12" i="48"/>
  <c r="D11"/>
  <c r="D8" i="44"/>
  <c r="H14" i="30"/>
  <c r="D26" i="28"/>
  <c r="D32" i="49"/>
  <c r="D44" i="48"/>
  <c r="D32"/>
  <c r="D44" i="44"/>
  <c r="D31"/>
  <c r="D45" i="42"/>
  <c r="D46" i="39"/>
  <c r="D45"/>
  <c r="D32"/>
  <c r="D45" i="38"/>
  <c r="D44"/>
  <c r="D45" i="34"/>
  <c r="D44" i="33"/>
  <c r="D45" i="31"/>
  <c r="D32"/>
  <c r="D46" i="30"/>
  <c r="D32"/>
  <c r="D45" i="28"/>
  <c r="C70" i="49"/>
  <c r="D16" i="48"/>
  <c r="D8"/>
  <c r="D7"/>
  <c r="D7" i="44"/>
  <c r="C61" i="42"/>
  <c r="C59" i="39"/>
  <c r="C70"/>
  <c r="D8"/>
  <c r="D7"/>
  <c r="D17" i="38"/>
  <c r="D16"/>
  <c r="D12"/>
  <c r="D11"/>
  <c r="D8"/>
  <c r="D7"/>
  <c r="C69" i="34"/>
  <c r="D8"/>
  <c r="D7"/>
  <c r="D22" i="31"/>
  <c r="D8"/>
  <c r="D7"/>
  <c r="D16"/>
  <c r="D11"/>
  <c r="D15" i="30"/>
  <c r="D17"/>
  <c r="D16"/>
  <c r="D12"/>
  <c r="D11"/>
  <c r="D8"/>
  <c r="D7"/>
  <c r="D11" i="34"/>
  <c r="C69" i="33"/>
  <c r="C70" i="31"/>
  <c r="C70" i="30"/>
  <c r="C69" i="28"/>
  <c r="C58"/>
  <c r="C16" i="48"/>
  <c r="C16" i="38"/>
  <c r="C16" i="30"/>
  <c r="C15" i="48"/>
  <c r="D15" i="31" l="1"/>
  <c r="D15" i="48" l="1"/>
  <c r="C50" i="46" l="1"/>
  <c r="C50" i="48"/>
  <c r="D50" i="46"/>
  <c r="D50" i="48" l="1"/>
  <c r="D49" i="51" l="1"/>
  <c r="D45"/>
  <c r="D44"/>
  <c r="C57"/>
  <c r="E8" i="49"/>
  <c r="E9"/>
  <c r="E11"/>
  <c r="E12"/>
  <c r="E13"/>
  <c r="E14"/>
  <c r="E15"/>
  <c r="E16"/>
  <c r="E17"/>
  <c r="E18"/>
  <c r="E19"/>
  <c r="E20"/>
  <c r="E21"/>
  <c r="E22"/>
  <c r="E23"/>
  <c r="E24"/>
  <c r="E25"/>
  <c r="E7"/>
  <c r="E8" i="48"/>
  <c r="E9"/>
  <c r="E11"/>
  <c r="E12"/>
  <c r="E13"/>
  <c r="E14"/>
  <c r="E15"/>
  <c r="E16"/>
  <c r="E17"/>
  <c r="E18"/>
  <c r="E19"/>
  <c r="E20"/>
  <c r="E21"/>
  <c r="E22"/>
  <c r="E23"/>
  <c r="E24"/>
  <c r="E25"/>
  <c r="E7"/>
  <c r="E8" i="46"/>
  <c r="E9"/>
  <c r="E11"/>
  <c r="E12"/>
  <c r="E13"/>
  <c r="E14"/>
  <c r="E15"/>
  <c r="E16"/>
  <c r="E17"/>
  <c r="E18"/>
  <c r="E19"/>
  <c r="E20"/>
  <c r="E21"/>
  <c r="E22"/>
  <c r="E23"/>
  <c r="E24"/>
  <c r="E25"/>
  <c r="E7"/>
  <c r="E8" i="44"/>
  <c r="E9"/>
  <c r="E11"/>
  <c r="E12"/>
  <c r="E13"/>
  <c r="E14"/>
  <c r="E15"/>
  <c r="E16"/>
  <c r="E17"/>
  <c r="E18"/>
  <c r="E19"/>
  <c r="E20"/>
  <c r="E21"/>
  <c r="E22"/>
  <c r="E23"/>
  <c r="E24"/>
  <c r="E25"/>
  <c r="E7"/>
  <c r="E8" i="42"/>
  <c r="E9"/>
  <c r="E11"/>
  <c r="E12"/>
  <c r="E13"/>
  <c r="E14"/>
  <c r="E15"/>
  <c r="E16"/>
  <c r="E17"/>
  <c r="E18"/>
  <c r="E19"/>
  <c r="E20"/>
  <c r="E21"/>
  <c r="E22"/>
  <c r="E23"/>
  <c r="E24"/>
  <c r="E25"/>
  <c r="E7"/>
  <c r="E8" i="39"/>
  <c r="E9"/>
  <c r="E11"/>
  <c r="E12"/>
  <c r="E13"/>
  <c r="E14"/>
  <c r="E15"/>
  <c r="E16"/>
  <c r="E17"/>
  <c r="E18"/>
  <c r="E19"/>
  <c r="E20"/>
  <c r="E21"/>
  <c r="E22"/>
  <c r="E23"/>
  <c r="E24"/>
  <c r="E25"/>
  <c r="E7"/>
  <c r="E8" i="38"/>
  <c r="E9"/>
  <c r="E11"/>
  <c r="E12"/>
  <c r="E13"/>
  <c r="E14"/>
  <c r="E15"/>
  <c r="E16"/>
  <c r="E17"/>
  <c r="E18"/>
  <c r="E19"/>
  <c r="E20"/>
  <c r="E21"/>
  <c r="E22"/>
  <c r="E23"/>
  <c r="E24"/>
  <c r="E25"/>
  <c r="E7"/>
  <c r="E8" i="34"/>
  <c r="E9"/>
  <c r="E11"/>
  <c r="E12"/>
  <c r="E13"/>
  <c r="E14"/>
  <c r="E15"/>
  <c r="E16"/>
  <c r="E17"/>
  <c r="E18"/>
  <c r="E19"/>
  <c r="E20"/>
  <c r="E21"/>
  <c r="E22"/>
  <c r="E23"/>
  <c r="E24"/>
  <c r="E25"/>
  <c r="E7"/>
  <c r="E8" i="33"/>
  <c r="E9"/>
  <c r="E11"/>
  <c r="E12"/>
  <c r="E13"/>
  <c r="E14"/>
  <c r="E15"/>
  <c r="E16"/>
  <c r="E17"/>
  <c r="E18"/>
  <c r="E19"/>
  <c r="E20"/>
  <c r="E21"/>
  <c r="E22"/>
  <c r="E23"/>
  <c r="E24"/>
  <c r="E25"/>
  <c r="E7"/>
  <c r="E9" i="31"/>
  <c r="E8"/>
  <c r="E11"/>
  <c r="E12"/>
  <c r="E13"/>
  <c r="E14"/>
  <c r="E15"/>
  <c r="E16"/>
  <c r="E17"/>
  <c r="E18"/>
  <c r="E19"/>
  <c r="E20"/>
  <c r="E21"/>
  <c r="E22"/>
  <c r="E23"/>
  <c r="E24"/>
  <c r="E25"/>
  <c r="E7"/>
  <c r="E8" i="30"/>
  <c r="E9"/>
  <c r="E11"/>
  <c r="E12"/>
  <c r="E13"/>
  <c r="E14"/>
  <c r="E15"/>
  <c r="E16"/>
  <c r="E17"/>
  <c r="E18"/>
  <c r="E19"/>
  <c r="E20"/>
  <c r="E21"/>
  <c r="E22"/>
  <c r="E23"/>
  <c r="E24"/>
  <c r="E25"/>
  <c r="E7"/>
  <c r="E8" i="28"/>
  <c r="E9"/>
  <c r="E11"/>
  <c r="E12"/>
  <c r="E13"/>
  <c r="E14"/>
  <c r="E15"/>
  <c r="E16"/>
  <c r="E17"/>
  <c r="E18"/>
  <c r="E19"/>
  <c r="E20"/>
  <c r="E21"/>
  <c r="E22"/>
  <c r="E23"/>
  <c r="E24"/>
  <c r="E25"/>
  <c r="E7"/>
  <c r="C51" i="30"/>
  <c r="D52" i="39" l="1"/>
  <c r="C51" i="38"/>
  <c r="D51"/>
  <c r="C51" i="34" l="1"/>
  <c r="D38" l="1"/>
  <c r="C51" i="44"/>
  <c r="C52" i="39"/>
  <c r="C76" i="44" l="1"/>
  <c r="D52" i="42"/>
  <c r="C52"/>
  <c r="D51" i="44"/>
  <c r="C77" i="49"/>
  <c r="C76" i="48"/>
  <c r="C76" i="46"/>
  <c r="C76" i="34"/>
  <c r="C76" i="33"/>
  <c r="C77" i="31"/>
  <c r="C77" i="30"/>
  <c r="C76" i="28"/>
  <c r="C76" i="38"/>
  <c r="C77" i="39"/>
  <c r="D51" i="34" l="1"/>
  <c r="C78" i="42"/>
  <c r="D26" i="49"/>
  <c r="D26" i="48"/>
  <c r="D26" i="46"/>
  <c r="D26" i="44"/>
  <c r="D26" i="42"/>
  <c r="D26" i="39"/>
  <c r="D26" i="38"/>
  <c r="D26" i="34"/>
  <c r="D26" i="33"/>
  <c r="D26" i="31"/>
  <c r="D26" i="30"/>
  <c r="C52" i="49" l="1"/>
  <c r="D52"/>
  <c r="D39"/>
  <c r="C39"/>
  <c r="D37" i="48"/>
  <c r="C37"/>
  <c r="D37" i="46"/>
  <c r="C37"/>
  <c r="D38" i="44"/>
  <c r="C38"/>
  <c r="D39" i="42"/>
  <c r="C39"/>
  <c r="D39" i="39"/>
  <c r="C39"/>
  <c r="C38" i="38"/>
  <c r="D38"/>
  <c r="C38" i="34"/>
  <c r="C51" i="33"/>
  <c r="D51"/>
  <c r="D38"/>
  <c r="C38"/>
  <c r="C51" i="31"/>
  <c r="D51"/>
  <c r="C38"/>
  <c r="D38"/>
  <c r="C52" i="30"/>
  <c r="D52"/>
  <c r="C39"/>
  <c r="D39"/>
  <c r="C52" i="28"/>
  <c r="D52"/>
  <c r="D38"/>
  <c r="C38"/>
  <c r="C26" i="48" l="1"/>
  <c r="C26" i="46"/>
  <c r="C26" i="31"/>
  <c r="C26" i="30"/>
  <c r="C26" i="28"/>
  <c r="E26" i="46" l="1"/>
  <c r="E26" i="48"/>
  <c r="E26" i="31"/>
  <c r="E26" i="30"/>
  <c r="E26" i="28"/>
  <c r="C26" i="39"/>
  <c r="C26" i="49"/>
  <c r="C26" i="44"/>
  <c r="C26" i="38"/>
  <c r="C26" i="34"/>
  <c r="C26" i="33"/>
  <c r="C26" i="42"/>
  <c r="E26" i="49" l="1"/>
  <c r="E26" i="44"/>
  <c r="E26" i="42"/>
  <c r="E26" i="39"/>
  <c r="E26" i="38"/>
  <c r="E26" i="34"/>
  <c r="E26" i="33"/>
</calcChain>
</file>

<file path=xl/sharedStrings.xml><?xml version="1.0" encoding="utf-8"?>
<sst xmlns="http://schemas.openxmlformats.org/spreadsheetml/2006/main" count="891" uniqueCount="71">
  <si>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</si>
  <si>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</si>
  <si>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</si>
  <si>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</si>
  <si>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</si>
  <si>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</si>
  <si>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</si>
  <si>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</si>
  <si>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</si>
  <si>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</si>
  <si>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</si>
  <si>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</si>
  <si>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</si>
  <si>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</si>
  <si>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</si>
  <si>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</si>
  <si>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</si>
  <si>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</si>
  <si>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</si>
  <si>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</si>
  <si>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</si>
  <si>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</si>
  <si>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</si>
  <si>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</si>
  <si>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</si>
  <si>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</si>
  <si>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</si>
  <si>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</si>
  <si>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</si>
  <si>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</si>
  <si>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</si>
  <si>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</si>
  <si>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</si>
  <si>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</si>
  <si>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</si>
  <si>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</si>
  <si>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</si>
  <si>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</si>
  <si>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</si>
  <si>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</si>
  <si>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</si>
  <si>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</si>
  <si>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</si>
  <si>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</si>
  <si>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</si>
  <si>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</si>
  <si>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</si>
  <si>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</si>
  <si>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</si>
  <si>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</si>
  <si>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</si>
  <si>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</si>
  <si>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</si>
  <si>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</si>
  <si>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</si>
  <si>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</si>
  <si>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</si>
  <si>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</si>
  <si>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</si>
  <si>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</si>
  <si>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</si>
  <si>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</si>
  <si>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</si>
  <si>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</si>
  <si>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</si>
  <si>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</si>
  <si>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Щасливський заклад  загальної середньої освіти І-ІІ ступенів- заклад дошкільної освіти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</si>
  <si>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станом на 01.10.2020 року  </t>
  </si>
  <si>
    <t>Інформація про перелік товарів,робіт і послуг отриманих як благодійна допомога станом на 01.10. 2020 року</t>
  </si>
  <si>
    <t xml:space="preserve">Кошторис та фінансовий звіт  про надходження та використання   коштів стоном на 01.10.2020 року  </t>
  </si>
  <si>
    <t>Медикаменти</t>
  </si>
</sst>
</file>

<file path=xl/styles.xml><?xml version="1.0" encoding="utf-8"?>
<styleSheet xmlns="http://schemas.openxmlformats.org/spreadsheetml/2006/main">
  <numFmts count="1">
    <numFmt numFmtId="164" formatCode="d/m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2" fontId="8" fillId="0" borderId="0" xfId="0" applyNumberFormat="1" applyFont="1"/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1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1" fontId="13" fillId="2" borderId="1" xfId="0" applyNumberFormat="1" applyFont="1" applyFill="1" applyBorder="1"/>
    <xf numFmtId="2" fontId="0" fillId="2" borderId="0" xfId="0" applyNumberFormat="1" applyFill="1" applyAlignment="1">
      <alignment wrapText="1"/>
    </xf>
    <xf numFmtId="2" fontId="0" fillId="2" borderId="0" xfId="0" applyNumberFormat="1" applyFill="1"/>
    <xf numFmtId="2" fontId="3" fillId="2" borderId="0" xfId="0" applyNumberFormat="1" applyFont="1" applyFill="1"/>
    <xf numFmtId="2" fontId="2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/>
    <xf numFmtId="16" fontId="0" fillId="2" borderId="0" xfId="0" applyNumberFormat="1" applyFill="1"/>
    <xf numFmtId="2" fontId="2" fillId="2" borderId="0" xfId="0" applyNumberFormat="1" applyFont="1" applyFill="1" applyBorder="1"/>
    <xf numFmtId="2" fontId="3" fillId="2" borderId="1" xfId="0" applyNumberFormat="1" applyFont="1" applyFill="1" applyBorder="1" applyAlignment="1">
      <alignment horizontal="right" wrapText="1"/>
    </xf>
    <xf numFmtId="2" fontId="15" fillId="2" borderId="6" xfId="1" applyNumberFormat="1" applyFont="1" applyFill="1" applyBorder="1"/>
    <xf numFmtId="0" fontId="3" fillId="2" borderId="0" xfId="0" applyFont="1" applyFill="1"/>
    <xf numFmtId="2" fontId="12" fillId="2" borderId="1" xfId="0" applyNumberFormat="1" applyFont="1" applyFill="1" applyBorder="1"/>
    <xf numFmtId="2" fontId="3" fillId="2" borderId="3" xfId="0" applyNumberFormat="1" applyFont="1" applyFill="1" applyBorder="1"/>
    <xf numFmtId="2" fontId="15" fillId="2" borderId="1" xfId="1" applyNumberFormat="1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2" borderId="1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2" fontId="12" fillId="2" borderId="3" xfId="0" applyNumberFormat="1" applyFont="1" applyFill="1" applyBorder="1" applyAlignment="1"/>
    <xf numFmtId="2" fontId="12" fillId="2" borderId="4" xfId="0" applyNumberFormat="1" applyFont="1" applyFill="1" applyBorder="1" applyAlignment="1"/>
    <xf numFmtId="2" fontId="3" fillId="2" borderId="3" xfId="0" applyNumberFormat="1" applyFont="1" applyFill="1" applyBorder="1" applyAlignment="1"/>
    <xf numFmtId="2" fontId="3" fillId="2" borderId="4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2" borderId="1" xfId="0" applyNumberFormat="1" applyFont="1" applyFill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6"/>
  <sheetViews>
    <sheetView zoomScale="80" zoomScaleNormal="80" workbookViewId="0">
      <selection activeCell="F1" sqref="F1:F1048576"/>
    </sheetView>
  </sheetViews>
  <sheetFormatPr defaultRowHeight="15"/>
  <cols>
    <col min="1" max="1" width="40.875" style="3" customWidth="1"/>
    <col min="2" max="2" width="9.375" style="1" customWidth="1"/>
    <col min="3" max="3" width="17.875" customWidth="1"/>
    <col min="4" max="4" width="17.125" customWidth="1"/>
    <col min="5" max="5" width="11" hidden="1" customWidth="1"/>
    <col min="6" max="6" width="14.375" customWidth="1"/>
    <col min="8" max="8" width="12.75" customWidth="1"/>
    <col min="9" max="9" width="11.25" customWidth="1"/>
  </cols>
  <sheetData>
    <row r="2" spans="1:6" ht="55.5" customHeight="1">
      <c r="A2" s="76" t="s">
        <v>67</v>
      </c>
      <c r="B2" s="77"/>
      <c r="C2" s="77"/>
      <c r="D2" s="77"/>
    </row>
    <row r="3" spans="1:6" ht="40.5" customHeight="1">
      <c r="A3" s="86" t="s">
        <v>29</v>
      </c>
      <c r="B3" s="87"/>
      <c r="C3" s="87"/>
      <c r="D3" s="87"/>
    </row>
    <row r="4" spans="1:6" ht="18.75">
      <c r="A4" s="6"/>
      <c r="B4" s="7"/>
      <c r="C4" s="8"/>
      <c r="D4" s="8"/>
    </row>
    <row r="5" spans="1:6" ht="41.25" customHeight="1">
      <c r="A5" s="83" t="s">
        <v>24</v>
      </c>
      <c r="B5" s="84"/>
      <c r="C5" s="84"/>
      <c r="D5" s="84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61">
        <v>3333240</v>
      </c>
      <c r="D7" s="65">
        <v>2223570.2999999998</v>
      </c>
      <c r="E7" s="25">
        <f>C7-D7</f>
        <v>1109669.7000000002</v>
      </c>
      <c r="F7" s="25"/>
    </row>
    <row r="8" spans="1:6" s="2" customFormat="1" ht="18.75">
      <c r="A8" s="21" t="s">
        <v>44</v>
      </c>
      <c r="B8" s="16">
        <v>2120</v>
      </c>
      <c r="C8" s="61">
        <v>733310</v>
      </c>
      <c r="D8" s="65">
        <v>482522.23</v>
      </c>
      <c r="E8" s="25">
        <f t="shared" ref="E8:E26" si="0">C8-D8</f>
        <v>250787.77000000002</v>
      </c>
      <c r="F8" s="25"/>
    </row>
    <row r="9" spans="1:6" ht="37.5">
      <c r="A9" s="11" t="s">
        <v>2</v>
      </c>
      <c r="B9" s="16">
        <v>2210</v>
      </c>
      <c r="C9" s="69">
        <v>168845</v>
      </c>
      <c r="D9" s="70">
        <f>79161+6014</f>
        <v>85175</v>
      </c>
      <c r="E9" s="25">
        <f t="shared" si="0"/>
        <v>83670</v>
      </c>
      <c r="F9" s="25"/>
    </row>
    <row r="10" spans="1:6" ht="18.75">
      <c r="A10" s="39" t="s">
        <v>70</v>
      </c>
      <c r="B10" s="16">
        <v>2220</v>
      </c>
      <c r="C10" s="20">
        <v>3630</v>
      </c>
      <c r="D10" s="66">
        <v>3622.06</v>
      </c>
      <c r="E10" s="25"/>
      <c r="F10" s="25"/>
    </row>
    <row r="11" spans="1:6" ht="18.75">
      <c r="A11" s="11" t="s">
        <v>3</v>
      </c>
      <c r="B11" s="16">
        <v>2230</v>
      </c>
      <c r="C11" s="20">
        <v>72920</v>
      </c>
      <c r="D11" s="20">
        <v>31868.400000000001</v>
      </c>
      <c r="E11" s="25">
        <f t="shared" si="0"/>
        <v>41051.599999999999</v>
      </c>
      <c r="F11" s="25"/>
    </row>
    <row r="12" spans="1:6" ht="18.75">
      <c r="A12" s="11" t="s">
        <v>4</v>
      </c>
      <c r="B12" s="16">
        <v>2240</v>
      </c>
      <c r="C12" s="20">
        <v>95570</v>
      </c>
      <c r="D12" s="20">
        <v>71267.53</v>
      </c>
      <c r="E12" s="25">
        <f t="shared" si="0"/>
        <v>24302.47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 hidden="1">
      <c r="A15" s="11" t="s">
        <v>7</v>
      </c>
      <c r="B15" s="16">
        <v>2272</v>
      </c>
      <c r="C15" s="20"/>
      <c r="D15" s="20"/>
      <c r="E15" s="25">
        <f t="shared" si="0"/>
        <v>0</v>
      </c>
      <c r="F15" s="25"/>
    </row>
    <row r="16" spans="1:6" ht="18.75">
      <c r="A16" s="11" t="s">
        <v>8</v>
      </c>
      <c r="B16" s="16">
        <v>2273</v>
      </c>
      <c r="C16" s="20">
        <v>82660</v>
      </c>
      <c r="D16" s="20">
        <v>56494.43</v>
      </c>
      <c r="E16" s="25">
        <f t="shared" si="0"/>
        <v>26165.57</v>
      </c>
      <c r="F16" s="25"/>
    </row>
    <row r="17" spans="1:9" ht="18.75" hidden="1">
      <c r="A17" s="11" t="s">
        <v>9</v>
      </c>
      <c r="B17" s="16">
        <v>2274</v>
      </c>
      <c r="C17" s="20"/>
      <c r="D17" s="20"/>
      <c r="E17" s="25">
        <f t="shared" si="0"/>
        <v>0</v>
      </c>
      <c r="F17" s="25"/>
      <c r="H17" s="55"/>
      <c r="I17" s="58"/>
    </row>
    <row r="18" spans="1:9" ht="18.75">
      <c r="A18" s="11" t="s">
        <v>10</v>
      </c>
      <c r="B18" s="16">
        <v>2275</v>
      </c>
      <c r="C18" s="20">
        <v>175180</v>
      </c>
      <c r="D18" s="20"/>
      <c r="E18" s="25">
        <f t="shared" si="0"/>
        <v>175180</v>
      </c>
      <c r="F18" s="25"/>
      <c r="H18" s="55"/>
      <c r="I18" s="55"/>
    </row>
    <row r="19" spans="1:9" ht="36" customHeight="1">
      <c r="A19" s="11" t="s">
        <v>11</v>
      </c>
      <c r="B19" s="16">
        <v>2282</v>
      </c>
      <c r="C19" s="20">
        <v>2000</v>
      </c>
      <c r="D19" s="20">
        <v>990</v>
      </c>
      <c r="E19" s="25">
        <f t="shared" si="0"/>
        <v>1010</v>
      </c>
      <c r="F19" s="25"/>
      <c r="H19" s="55"/>
      <c r="I19" s="58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7480</v>
      </c>
      <c r="D21" s="20">
        <v>6166.58</v>
      </c>
      <c r="E21" s="25">
        <f t="shared" si="0"/>
        <v>1313.42</v>
      </c>
      <c r="F21" s="25"/>
    </row>
    <row r="22" spans="1:9" ht="36" customHeight="1">
      <c r="A22" s="11" t="s">
        <v>12</v>
      </c>
      <c r="B22" s="16">
        <v>3110</v>
      </c>
      <c r="C22" s="13">
        <v>54000</v>
      </c>
      <c r="D22" s="13">
        <v>54000</v>
      </c>
      <c r="E22" s="25">
        <f t="shared" si="0"/>
        <v>0</v>
      </c>
      <c r="F22" s="25"/>
      <c r="H22" s="37"/>
    </row>
    <row r="23" spans="1:9" ht="37.5" hidden="1">
      <c r="A23" s="11" t="s">
        <v>20</v>
      </c>
      <c r="B23" s="16">
        <v>3122</v>
      </c>
      <c r="C23" s="13"/>
      <c r="D23" s="13"/>
      <c r="E23" s="25">
        <f t="shared" si="0"/>
        <v>0</v>
      </c>
      <c r="F23" s="25"/>
    </row>
    <row r="24" spans="1:9" ht="18.75" hidden="1">
      <c r="A24" s="11" t="s">
        <v>21</v>
      </c>
      <c r="B24" s="16">
        <v>3132</v>
      </c>
      <c r="C24" s="13"/>
      <c r="D24" s="13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13"/>
      <c r="D25" s="13"/>
      <c r="E25" s="25">
        <f t="shared" si="0"/>
        <v>0</v>
      </c>
      <c r="F25" s="25"/>
    </row>
    <row r="26" spans="1:9" ht="18.75">
      <c r="A26" s="11" t="s">
        <v>13</v>
      </c>
      <c r="B26" s="16"/>
      <c r="C26" s="14">
        <f>SUM(C7:C25)</f>
        <v>4728835</v>
      </c>
      <c r="D26" s="48">
        <f>SUM(D7:D25)</f>
        <v>3015676.53</v>
      </c>
      <c r="E26" s="25">
        <f t="shared" si="0"/>
        <v>1713158.4700000002</v>
      </c>
      <c r="F26" s="25"/>
      <c r="I26" s="4"/>
    </row>
    <row r="27" spans="1:9">
      <c r="C27" s="4"/>
      <c r="D27" s="4"/>
    </row>
    <row r="28" spans="1:9" ht="28.5" customHeight="1">
      <c r="A28" s="76" t="s">
        <v>25</v>
      </c>
      <c r="B28" s="85"/>
      <c r="C28" s="85"/>
      <c r="D28" s="85"/>
    </row>
    <row r="29" spans="1:9">
      <c r="D29" s="29"/>
    </row>
    <row r="30" spans="1:9" ht="56.25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>
      <c r="A31" s="11" t="s">
        <v>2</v>
      </c>
      <c r="B31" s="17">
        <v>2210</v>
      </c>
      <c r="C31" s="51">
        <v>3140</v>
      </c>
      <c r="D31" s="20">
        <v>2476.3000000000002</v>
      </c>
      <c r="F31" s="25"/>
    </row>
    <row r="32" spans="1:9" ht="18.75" hidden="1">
      <c r="A32" s="12" t="s">
        <v>3</v>
      </c>
      <c r="B32" s="17">
        <v>2230</v>
      </c>
      <c r="C32" s="51"/>
      <c r="D32" s="20"/>
      <c r="F32" s="25"/>
    </row>
    <row r="33" spans="1:6" ht="18.75" hidden="1">
      <c r="A33" s="12" t="s">
        <v>4</v>
      </c>
      <c r="B33" s="17">
        <v>2240</v>
      </c>
      <c r="C33" s="53"/>
      <c r="D33" s="20"/>
      <c r="F33" s="25"/>
    </row>
    <row r="34" spans="1:6" ht="18.75" hidden="1">
      <c r="A34" s="11" t="s">
        <v>15</v>
      </c>
      <c r="B34" s="17">
        <v>2800</v>
      </c>
      <c r="C34" s="51"/>
      <c r="D34" s="20"/>
      <c r="F34" s="25"/>
    </row>
    <row r="35" spans="1:6" ht="18.75" hidden="1">
      <c r="A35" s="39" t="s">
        <v>10</v>
      </c>
      <c r="B35" s="17">
        <v>2275</v>
      </c>
      <c r="C35" s="51"/>
      <c r="D35" s="20"/>
      <c r="F35" s="25"/>
    </row>
    <row r="36" spans="1:6" ht="37.5" hidden="1">
      <c r="A36" s="11" t="s">
        <v>12</v>
      </c>
      <c r="B36" s="17">
        <v>3110</v>
      </c>
      <c r="C36" s="51"/>
      <c r="D36" s="20"/>
      <c r="F36" s="25"/>
    </row>
    <row r="37" spans="1:6" ht="18.75" hidden="1">
      <c r="A37" s="18" t="s">
        <v>16</v>
      </c>
      <c r="B37" s="19">
        <v>3132</v>
      </c>
      <c r="C37" s="51"/>
      <c r="D37" s="20"/>
      <c r="F37" s="25"/>
    </row>
    <row r="38" spans="1:6" ht="18.75">
      <c r="A38" s="11" t="s">
        <v>13</v>
      </c>
      <c r="B38" s="17"/>
      <c r="C38" s="52">
        <f>SUM(C31:C37)</f>
        <v>3140</v>
      </c>
      <c r="D38" s="52">
        <f>SUM(D31:D37)</f>
        <v>2476.3000000000002</v>
      </c>
      <c r="F38" s="25"/>
    </row>
    <row r="39" spans="1:6" ht="18.75">
      <c r="A39" s="42"/>
      <c r="B39" s="43"/>
      <c r="C39" s="44"/>
      <c r="D39" s="44"/>
      <c r="F39" s="25"/>
    </row>
    <row r="40" spans="1:6">
      <c r="A40" s="1"/>
      <c r="B40" s="5"/>
      <c r="C40" s="4"/>
      <c r="D40" s="4"/>
    </row>
    <row r="41" spans="1:6">
      <c r="A41" s="1"/>
      <c r="B41" s="5"/>
      <c r="C41" s="4"/>
      <c r="D41" s="4"/>
    </row>
    <row r="42" spans="1:6" ht="33.75" customHeight="1">
      <c r="A42" s="71" t="s">
        <v>26</v>
      </c>
      <c r="B42" s="71"/>
      <c r="C42" s="71"/>
      <c r="D42" s="71"/>
    </row>
    <row r="43" spans="1:6">
      <c r="A43" s="1"/>
      <c r="B43" s="5"/>
      <c r="C43" s="4"/>
      <c r="D43" s="4"/>
    </row>
    <row r="44" spans="1:6" ht="56.25">
      <c r="A44" s="45" t="s">
        <v>0</v>
      </c>
      <c r="B44" s="45" t="s">
        <v>1</v>
      </c>
      <c r="C44" s="10" t="s">
        <v>23</v>
      </c>
      <c r="D44" s="10" t="s">
        <v>18</v>
      </c>
    </row>
    <row r="45" spans="1:6" ht="37.5">
      <c r="A45" s="39" t="s">
        <v>2</v>
      </c>
      <c r="B45" s="17">
        <v>2210</v>
      </c>
      <c r="C45" s="51">
        <f>18230.01+202.18</f>
        <v>18432.189999999999</v>
      </c>
      <c r="D45" s="51">
        <f>17542+211.54+202.18</f>
        <v>17955.72</v>
      </c>
      <c r="F45" s="25"/>
    </row>
    <row r="46" spans="1:6" ht="18.75">
      <c r="A46" s="12" t="s">
        <v>3</v>
      </c>
      <c r="B46" s="17">
        <v>2230</v>
      </c>
      <c r="C46" s="51">
        <v>3655.24</v>
      </c>
      <c r="D46" s="51">
        <v>3655.24</v>
      </c>
      <c r="F46" s="25"/>
    </row>
    <row r="47" spans="1:6" ht="18.75" hidden="1">
      <c r="A47" s="12" t="s">
        <v>4</v>
      </c>
      <c r="B47" s="17">
        <v>2240</v>
      </c>
      <c r="C47" s="51"/>
      <c r="D47" s="51"/>
      <c r="F47" s="25"/>
    </row>
    <row r="48" spans="1:6" ht="18.75" hidden="1">
      <c r="A48" s="12" t="s">
        <v>10</v>
      </c>
      <c r="B48" s="17">
        <v>2275</v>
      </c>
      <c r="C48" s="51"/>
      <c r="D48" s="51"/>
      <c r="F48" s="25"/>
    </row>
    <row r="49" spans="1:10" ht="18.75" hidden="1">
      <c r="A49" s="11" t="s">
        <v>15</v>
      </c>
      <c r="B49" s="17">
        <v>2800</v>
      </c>
      <c r="C49" s="51"/>
      <c r="D49" s="51"/>
      <c r="F49" s="25"/>
    </row>
    <row r="50" spans="1:10" ht="37.5" hidden="1">
      <c r="A50" s="11" t="s">
        <v>12</v>
      </c>
      <c r="B50" s="17">
        <v>3110</v>
      </c>
      <c r="C50" s="51"/>
      <c r="D50" s="51"/>
      <c r="F50" s="25"/>
    </row>
    <row r="51" spans="1:10" ht="18.75" hidden="1">
      <c r="A51" s="18" t="s">
        <v>16</v>
      </c>
      <c r="B51" s="19">
        <v>3132</v>
      </c>
      <c r="C51" s="20"/>
      <c r="D51" s="20"/>
      <c r="F51" s="25"/>
    </row>
    <row r="52" spans="1:10" ht="18.75">
      <c r="A52" s="11" t="s">
        <v>13</v>
      </c>
      <c r="B52" s="17"/>
      <c r="C52" s="52">
        <f>C45+C46+C49+C50+C51</f>
        <v>22087.43</v>
      </c>
      <c r="D52" s="52">
        <f>D45+D46+D49+D50+D51</f>
        <v>21610.959999999999</v>
      </c>
      <c r="F52" s="25"/>
    </row>
    <row r="53" spans="1:10" ht="18.75">
      <c r="A53" s="42"/>
      <c r="B53" s="43"/>
      <c r="C53" s="44"/>
      <c r="D53" s="44"/>
      <c r="F53" s="25"/>
    </row>
    <row r="55" spans="1:10" ht="34.5" customHeight="1">
      <c r="A55" s="71" t="s">
        <v>68</v>
      </c>
      <c r="B55" s="78"/>
      <c r="C55" s="78"/>
      <c r="D55" s="78"/>
    </row>
    <row r="57" spans="1:10" ht="18.75">
      <c r="A57" s="73" t="s">
        <v>27</v>
      </c>
      <c r="B57" s="74"/>
      <c r="C57" s="75" t="s">
        <v>28</v>
      </c>
      <c r="D57" s="74"/>
    </row>
    <row r="58" spans="1:10" ht="18.75">
      <c r="A58" s="39" t="s">
        <v>39</v>
      </c>
      <c r="B58" s="34">
        <v>2210</v>
      </c>
      <c r="C58" s="88">
        <f>5192+1100</f>
        <v>6292</v>
      </c>
      <c r="D58" s="88"/>
      <c r="I58" s="4"/>
      <c r="J58" s="4"/>
    </row>
    <row r="59" spans="1:10" ht="18.75" hidden="1">
      <c r="A59" s="39" t="s">
        <v>33</v>
      </c>
      <c r="B59" s="34">
        <v>2210</v>
      </c>
      <c r="C59" s="89"/>
      <c r="D59" s="90"/>
    </row>
    <row r="60" spans="1:10" ht="18.75" hidden="1">
      <c r="A60" s="39" t="s">
        <v>36</v>
      </c>
      <c r="B60" s="34">
        <v>2210</v>
      </c>
      <c r="C60" s="89"/>
      <c r="D60" s="90"/>
    </row>
    <row r="61" spans="1:10" ht="18.75" hidden="1">
      <c r="A61" s="39" t="s">
        <v>41</v>
      </c>
      <c r="B61" s="35">
        <v>3110.221</v>
      </c>
      <c r="C61" s="89"/>
      <c r="D61" s="90"/>
    </row>
    <row r="62" spans="1:10" ht="18.75">
      <c r="A62" s="39" t="s">
        <v>32</v>
      </c>
      <c r="B62" s="34">
        <v>2210</v>
      </c>
      <c r="C62" s="89">
        <f>11250+413.72</f>
        <v>11663.72</v>
      </c>
      <c r="D62" s="90"/>
    </row>
    <row r="63" spans="1:10" ht="18.75" hidden="1">
      <c r="A63" s="39" t="s">
        <v>34</v>
      </c>
      <c r="B63" s="34">
        <v>2210</v>
      </c>
      <c r="C63" s="89"/>
      <c r="D63" s="90"/>
    </row>
    <row r="64" spans="1:10" ht="18.75" hidden="1">
      <c r="A64" s="39" t="s">
        <v>40</v>
      </c>
      <c r="B64" s="34">
        <v>2210</v>
      </c>
      <c r="C64" s="89"/>
      <c r="D64" s="90"/>
    </row>
    <row r="65" spans="1:4" ht="18.75" hidden="1">
      <c r="A65" s="39" t="s">
        <v>35</v>
      </c>
      <c r="B65" s="34">
        <v>3110</v>
      </c>
      <c r="C65" s="89"/>
      <c r="D65" s="90"/>
    </row>
    <row r="66" spans="1:4" ht="18.75" hidden="1">
      <c r="A66" s="39" t="s">
        <v>37</v>
      </c>
      <c r="B66" s="34">
        <v>2210</v>
      </c>
      <c r="C66" s="89"/>
      <c r="D66" s="90"/>
    </row>
    <row r="67" spans="1:4" ht="18.75" hidden="1">
      <c r="A67" s="39" t="s">
        <v>38</v>
      </c>
      <c r="B67" s="34">
        <v>2210</v>
      </c>
      <c r="C67" s="89"/>
      <c r="D67" s="90"/>
    </row>
    <row r="68" spans="1:4" ht="18.75" hidden="1">
      <c r="A68" s="39" t="s">
        <v>50</v>
      </c>
      <c r="B68" s="34">
        <v>2240</v>
      </c>
      <c r="C68" s="89"/>
      <c r="D68" s="90"/>
    </row>
    <row r="69" spans="1:4" ht="18.75">
      <c r="A69" s="39" t="s">
        <v>42</v>
      </c>
      <c r="B69" s="34">
        <v>2230</v>
      </c>
      <c r="C69" s="89">
        <f>3205.62+449.62</f>
        <v>3655.24</v>
      </c>
      <c r="D69" s="90"/>
    </row>
    <row r="70" spans="1:4" ht="18.75" hidden="1">
      <c r="A70" s="39" t="s">
        <v>43</v>
      </c>
      <c r="B70" s="34">
        <v>2210</v>
      </c>
      <c r="C70" s="89"/>
      <c r="D70" s="90"/>
    </row>
    <row r="71" spans="1:4" ht="18.75" hidden="1">
      <c r="A71" s="39" t="s">
        <v>49</v>
      </c>
      <c r="B71" s="34">
        <v>2210</v>
      </c>
      <c r="C71" s="89"/>
      <c r="D71" s="90"/>
    </row>
    <row r="72" spans="1:4" ht="18.75" hidden="1">
      <c r="A72" s="39" t="s">
        <v>47</v>
      </c>
      <c r="B72" s="34">
        <v>2210</v>
      </c>
      <c r="C72" s="89"/>
      <c r="D72" s="90"/>
    </row>
    <row r="73" spans="1:4" ht="18.75" hidden="1">
      <c r="A73" s="39" t="s">
        <v>46</v>
      </c>
      <c r="B73" s="34">
        <v>2210</v>
      </c>
      <c r="C73" s="89"/>
      <c r="D73" s="90"/>
    </row>
    <row r="74" spans="1:4" ht="18.75" hidden="1">
      <c r="A74" s="39" t="s">
        <v>48</v>
      </c>
      <c r="B74" s="40">
        <v>2210</v>
      </c>
      <c r="C74" s="89"/>
      <c r="D74" s="90"/>
    </row>
    <row r="75" spans="1:4" ht="18.75" hidden="1">
      <c r="A75" s="79"/>
      <c r="B75" s="80"/>
      <c r="C75" s="89"/>
      <c r="D75" s="90"/>
    </row>
    <row r="76" spans="1:4" ht="18.75">
      <c r="A76" s="79"/>
      <c r="B76" s="80"/>
      <c r="C76" s="91">
        <f>SUM(C58:D75)</f>
        <v>21610.959999999999</v>
      </c>
      <c r="D76" s="92"/>
    </row>
  </sheetData>
  <mergeCells count="29">
    <mergeCell ref="A76:B76"/>
    <mergeCell ref="C76:D76"/>
    <mergeCell ref="C71:D71"/>
    <mergeCell ref="C72:D72"/>
    <mergeCell ref="C73:D73"/>
    <mergeCell ref="C74:D74"/>
    <mergeCell ref="A75:B75"/>
    <mergeCell ref="C75:D75"/>
    <mergeCell ref="C68:D68"/>
    <mergeCell ref="C64:D64"/>
    <mergeCell ref="C65:D65"/>
    <mergeCell ref="C69:D69"/>
    <mergeCell ref="C70:D70"/>
    <mergeCell ref="A57:B57"/>
    <mergeCell ref="C57:D57"/>
    <mergeCell ref="C58:D58"/>
    <mergeCell ref="C66:D66"/>
    <mergeCell ref="C67:D67"/>
    <mergeCell ref="C62:D62"/>
    <mergeCell ref="C63:D63"/>
    <mergeCell ref="C59:D59"/>
    <mergeCell ref="C60:D60"/>
    <mergeCell ref="C61:D61"/>
    <mergeCell ref="A2:D2"/>
    <mergeCell ref="A5:D5"/>
    <mergeCell ref="A28:D28"/>
    <mergeCell ref="A42:D42"/>
    <mergeCell ref="A55:D55"/>
    <mergeCell ref="A3:D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I76"/>
  <sheetViews>
    <sheetView topLeftCell="A5" workbookViewId="0">
      <selection activeCell="F5" sqref="F1:F1048576"/>
    </sheetView>
  </sheetViews>
  <sheetFormatPr defaultRowHeight="15"/>
  <cols>
    <col min="1" max="1" width="40.875" style="3" customWidth="1"/>
    <col min="2" max="2" width="9.875" style="1" customWidth="1"/>
    <col min="3" max="3" width="17.375" style="55" customWidth="1"/>
    <col min="4" max="4" width="15.375" style="55" customWidth="1"/>
    <col min="5" max="5" width="10.375" hidden="1" customWidth="1"/>
    <col min="6" max="6" width="11.875" customWidth="1"/>
  </cols>
  <sheetData>
    <row r="2" spans="1:6" ht="56.25" customHeight="1">
      <c r="A2" s="76" t="s">
        <v>69</v>
      </c>
      <c r="B2" s="77"/>
      <c r="C2" s="77"/>
      <c r="D2" s="77"/>
    </row>
    <row r="3" spans="1:6" ht="39" customHeight="1">
      <c r="A3" s="86" t="s">
        <v>59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41.25" customHeight="1">
      <c r="A5" s="83" t="s">
        <v>24</v>
      </c>
      <c r="B5" s="84"/>
      <c r="C5" s="84"/>
      <c r="D5" s="84"/>
    </row>
    <row r="6" spans="1:6" s="2" customFormat="1" ht="72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v>2206460</v>
      </c>
      <c r="D7" s="61">
        <v>1561839.25</v>
      </c>
      <c r="E7" s="25">
        <f>C7-D7</f>
        <v>644620.75</v>
      </c>
      <c r="F7" s="25"/>
    </row>
    <row r="8" spans="1:6" s="2" customFormat="1" ht="18.75">
      <c r="A8" s="21" t="s">
        <v>44</v>
      </c>
      <c r="B8" s="16">
        <v>2120</v>
      </c>
      <c r="C8" s="61">
        <v>485430</v>
      </c>
      <c r="D8" s="61">
        <v>336286.41</v>
      </c>
      <c r="E8" s="25">
        <f t="shared" ref="E8:E26" si="0">C8-D8</f>
        <v>149143.59000000003</v>
      </c>
      <c r="F8" s="25"/>
    </row>
    <row r="9" spans="1:6" ht="37.5">
      <c r="A9" s="11" t="s">
        <v>2</v>
      </c>
      <c r="B9" s="16">
        <v>2210</v>
      </c>
      <c r="C9" s="20">
        <v>78010</v>
      </c>
      <c r="D9" s="20">
        <v>10622</v>
      </c>
      <c r="E9" s="25">
        <f t="shared" si="0"/>
        <v>67388</v>
      </c>
      <c r="F9" s="25"/>
    </row>
    <row r="10" spans="1:6" ht="18.75">
      <c r="A10" s="39" t="s">
        <v>70</v>
      </c>
      <c r="B10" s="16">
        <v>2220</v>
      </c>
      <c r="C10" s="20">
        <v>1220</v>
      </c>
      <c r="D10" s="20">
        <v>1200</v>
      </c>
      <c r="E10" s="25"/>
      <c r="F10" s="25"/>
    </row>
    <row r="11" spans="1:6" ht="18.75">
      <c r="A11" s="11" t="s">
        <v>3</v>
      </c>
      <c r="B11" s="16">
        <v>2230</v>
      </c>
      <c r="C11" s="20">
        <v>87070</v>
      </c>
      <c r="D11" s="20"/>
      <c r="E11" s="25">
        <f t="shared" si="0"/>
        <v>87070</v>
      </c>
      <c r="F11" s="25"/>
    </row>
    <row r="12" spans="1:6" ht="18.75">
      <c r="A12" s="11" t="s">
        <v>4</v>
      </c>
      <c r="B12" s="16">
        <v>2240</v>
      </c>
      <c r="C12" s="20">
        <v>17280</v>
      </c>
      <c r="D12" s="20">
        <v>4029.71</v>
      </c>
      <c r="E12" s="25">
        <f t="shared" si="0"/>
        <v>13250.29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 hidden="1">
      <c r="A15" s="11" t="s">
        <v>7</v>
      </c>
      <c r="B15" s="16">
        <v>2272</v>
      </c>
      <c r="C15" s="20"/>
      <c r="D15" s="20"/>
      <c r="E15" s="25">
        <f t="shared" si="0"/>
        <v>0</v>
      </c>
      <c r="F15" s="25"/>
    </row>
    <row r="16" spans="1:6" ht="18.75">
      <c r="A16" s="11" t="s">
        <v>8</v>
      </c>
      <c r="B16" s="16">
        <v>2273</v>
      </c>
      <c r="C16" s="20">
        <v>20480</v>
      </c>
      <c r="D16" s="20">
        <v>17554.52</v>
      </c>
      <c r="E16" s="25">
        <f t="shared" si="0"/>
        <v>2925.4799999999996</v>
      </c>
      <c r="F16" s="25"/>
    </row>
    <row r="17" spans="1:9" ht="18.75" hidden="1">
      <c r="A17" s="11" t="s">
        <v>9</v>
      </c>
      <c r="B17" s="16">
        <v>2274</v>
      </c>
      <c r="C17" s="20"/>
      <c r="D17" s="20"/>
      <c r="E17" s="25">
        <f t="shared" si="0"/>
        <v>0</v>
      </c>
      <c r="F17" s="25"/>
    </row>
    <row r="18" spans="1:9" ht="18.75">
      <c r="A18" s="11" t="s">
        <v>10</v>
      </c>
      <c r="B18" s="16">
        <v>2275</v>
      </c>
      <c r="C18" s="20">
        <v>140666</v>
      </c>
      <c r="D18" s="20"/>
      <c r="E18" s="25">
        <f t="shared" si="0"/>
        <v>140666</v>
      </c>
      <c r="F18" s="25"/>
    </row>
    <row r="19" spans="1:9" ht="36.75" customHeight="1">
      <c r="A19" s="11" t="s">
        <v>11</v>
      </c>
      <c r="B19" s="16">
        <v>2282</v>
      </c>
      <c r="C19" s="20">
        <v>2000</v>
      </c>
      <c r="D19" s="20">
        <v>990</v>
      </c>
      <c r="E19" s="25">
        <f t="shared" si="0"/>
        <v>1010</v>
      </c>
      <c r="F19" s="25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6500</v>
      </c>
      <c r="D21" s="20">
        <v>4814.8500000000004</v>
      </c>
      <c r="E21" s="25">
        <f t="shared" si="0"/>
        <v>1685.1499999999996</v>
      </c>
      <c r="F21" s="25"/>
    </row>
    <row r="22" spans="1:9" ht="38.25" customHeight="1">
      <c r="A22" s="11" t="s">
        <v>12</v>
      </c>
      <c r="B22" s="16">
        <v>3110</v>
      </c>
      <c r="C22" s="20"/>
      <c r="D22" s="20">
        <v>20663.75</v>
      </c>
      <c r="E22" s="25">
        <f t="shared" si="0"/>
        <v>-20663.75</v>
      </c>
      <c r="F22" s="25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6"/>
      <c r="C26" s="52">
        <f>SUM(C7:C25)</f>
        <v>3045116</v>
      </c>
      <c r="D26" s="52">
        <f>SUM(D7:D25)</f>
        <v>1958000.49</v>
      </c>
      <c r="E26" s="25">
        <f t="shared" si="0"/>
        <v>1087115.51</v>
      </c>
      <c r="F26" s="25"/>
    </row>
    <row r="27" spans="1:9" ht="18.75">
      <c r="A27" s="6"/>
      <c r="B27" s="7"/>
      <c r="C27" s="59"/>
      <c r="D27" s="59"/>
      <c r="F27" s="4"/>
    </row>
    <row r="28" spans="1:9" ht="33.75" customHeight="1">
      <c r="A28" s="76" t="s">
        <v>25</v>
      </c>
      <c r="B28" s="85"/>
      <c r="C28" s="85"/>
      <c r="D28" s="85"/>
    </row>
    <row r="29" spans="1:9" ht="18.75">
      <c r="A29" s="26"/>
      <c r="B29" s="28"/>
      <c r="C29" s="67"/>
      <c r="D29" s="63"/>
    </row>
    <row r="30" spans="1:9" ht="75">
      <c r="A30" s="15" t="s">
        <v>0</v>
      </c>
      <c r="B30" s="15" t="s">
        <v>1</v>
      </c>
      <c r="C30" s="60" t="s">
        <v>23</v>
      </c>
      <c r="D30" s="60" t="s">
        <v>18</v>
      </c>
    </row>
    <row r="31" spans="1:9" ht="37.5">
      <c r="A31" s="11" t="s">
        <v>2</v>
      </c>
      <c r="B31" s="17">
        <v>2210</v>
      </c>
      <c r="C31" s="20">
        <v>271</v>
      </c>
      <c r="D31" s="20">
        <v>1</v>
      </c>
      <c r="F31" s="25"/>
    </row>
    <row r="32" spans="1:9" ht="18.75" hidden="1">
      <c r="A32" s="12" t="s">
        <v>3</v>
      </c>
      <c r="B32" s="17">
        <v>2230</v>
      </c>
      <c r="C32" s="20"/>
      <c r="D32" s="20"/>
      <c r="F32" s="25"/>
    </row>
    <row r="33" spans="1:6" ht="18.75" hidden="1">
      <c r="A33" s="12" t="s">
        <v>4</v>
      </c>
      <c r="B33" s="17">
        <v>2240</v>
      </c>
      <c r="C33" s="20"/>
      <c r="D33" s="20"/>
      <c r="F33" s="25"/>
    </row>
    <row r="34" spans="1:6" ht="18.75" hidden="1">
      <c r="A34" s="11" t="s">
        <v>15</v>
      </c>
      <c r="B34" s="17">
        <v>2800</v>
      </c>
      <c r="C34" s="20"/>
      <c r="D34" s="20"/>
      <c r="F34" s="25"/>
    </row>
    <row r="35" spans="1:6" ht="37.5" hidden="1">
      <c r="A35" s="11" t="s">
        <v>12</v>
      </c>
      <c r="B35" s="17">
        <v>3110</v>
      </c>
      <c r="C35" s="20"/>
      <c r="D35" s="20"/>
      <c r="F35" s="25"/>
    </row>
    <row r="36" spans="1:6" ht="18.75" hidden="1">
      <c r="A36" s="18" t="s">
        <v>16</v>
      </c>
      <c r="B36" s="19">
        <v>3132</v>
      </c>
      <c r="C36" s="20"/>
      <c r="D36" s="20"/>
      <c r="F36" s="25"/>
    </row>
    <row r="37" spans="1:6" ht="18.75">
      <c r="A37" s="11" t="s">
        <v>13</v>
      </c>
      <c r="B37" s="17"/>
      <c r="C37" s="52">
        <f>SUM(C31:C36)</f>
        <v>271</v>
      </c>
      <c r="D37" s="52">
        <f>SUM(D31:D36)</f>
        <v>1</v>
      </c>
      <c r="F37" s="25"/>
    </row>
    <row r="38" spans="1:6">
      <c r="A38" s="1"/>
      <c r="B38" s="5"/>
      <c r="C38" s="58"/>
      <c r="D38" s="58"/>
    </row>
    <row r="39" spans="1:6">
      <c r="A39" s="1"/>
      <c r="B39" s="5"/>
      <c r="C39" s="58"/>
      <c r="D39" s="58"/>
    </row>
    <row r="40" spans="1:6" ht="34.5" customHeight="1">
      <c r="A40" s="71" t="s">
        <v>26</v>
      </c>
      <c r="B40" s="72"/>
      <c r="C40" s="72"/>
      <c r="D40" s="72"/>
    </row>
    <row r="41" spans="1:6">
      <c r="A41" s="1"/>
      <c r="B41" s="5"/>
      <c r="C41" s="58"/>
      <c r="D41" s="58"/>
    </row>
    <row r="42" spans="1:6" ht="75">
      <c r="A42" s="15" t="s">
        <v>0</v>
      </c>
      <c r="B42" s="15" t="s">
        <v>1</v>
      </c>
      <c r="C42" s="60" t="s">
        <v>23</v>
      </c>
      <c r="D42" s="60" t="s">
        <v>18</v>
      </c>
    </row>
    <row r="43" spans="1:6" ht="37.5">
      <c r="A43" s="11" t="s">
        <v>2</v>
      </c>
      <c r="B43" s="17">
        <v>2210</v>
      </c>
      <c r="C43" s="51">
        <v>4000</v>
      </c>
      <c r="D43" s="51">
        <v>4000</v>
      </c>
      <c r="F43" s="25"/>
    </row>
    <row r="44" spans="1:6" ht="18.75" hidden="1">
      <c r="A44" s="12" t="s">
        <v>3</v>
      </c>
      <c r="B44" s="17">
        <v>2230</v>
      </c>
      <c r="C44" s="51"/>
      <c r="D44" s="51"/>
      <c r="F44" s="25"/>
    </row>
    <row r="45" spans="1:6" ht="18.75" hidden="1">
      <c r="A45" s="12" t="s">
        <v>4</v>
      </c>
      <c r="B45" s="17">
        <v>2240</v>
      </c>
      <c r="C45" s="68"/>
      <c r="D45" s="68"/>
      <c r="F45" s="25"/>
    </row>
    <row r="46" spans="1:6" ht="18.75" hidden="1">
      <c r="A46" s="39" t="s">
        <v>10</v>
      </c>
      <c r="B46" s="34">
        <v>2275</v>
      </c>
      <c r="C46" s="68"/>
      <c r="D46" s="68"/>
      <c r="F46" s="25"/>
    </row>
    <row r="47" spans="1:6" ht="18.75" hidden="1">
      <c r="A47" s="11" t="s">
        <v>15</v>
      </c>
      <c r="B47" s="17">
        <v>2800</v>
      </c>
      <c r="C47" s="68"/>
      <c r="D47" s="68"/>
      <c r="F47" s="25"/>
    </row>
    <row r="48" spans="1:6" ht="37.5" hidden="1">
      <c r="A48" s="11" t="s">
        <v>12</v>
      </c>
      <c r="B48" s="17">
        <v>3110</v>
      </c>
      <c r="C48" s="51"/>
      <c r="D48" s="51"/>
      <c r="F48" s="25"/>
    </row>
    <row r="49" spans="1:6" ht="18.75" hidden="1">
      <c r="A49" s="18" t="s">
        <v>16</v>
      </c>
      <c r="B49" s="19">
        <v>3132</v>
      </c>
      <c r="C49" s="20"/>
      <c r="D49" s="20"/>
      <c r="F49" s="25"/>
    </row>
    <row r="50" spans="1:6" ht="18.75">
      <c r="A50" s="11" t="s">
        <v>13</v>
      </c>
      <c r="B50" s="17"/>
      <c r="C50" s="52">
        <f>SUM(C43:C49)</f>
        <v>4000</v>
      </c>
      <c r="D50" s="52">
        <f>SUM(D43:D49)</f>
        <v>4000</v>
      </c>
      <c r="F50" s="25"/>
    </row>
    <row r="51" spans="1:6" ht="18.75">
      <c r="A51" s="42"/>
      <c r="B51" s="43"/>
      <c r="C51" s="64"/>
      <c r="D51" s="64"/>
      <c r="F51" s="25"/>
    </row>
    <row r="52" spans="1:6" ht="18.75">
      <c r="A52" s="42"/>
      <c r="B52" s="43"/>
      <c r="C52" s="64"/>
      <c r="D52" s="64"/>
      <c r="F52" s="25"/>
    </row>
    <row r="55" spans="1:6" ht="36" customHeight="1">
      <c r="A55" s="71" t="s">
        <v>68</v>
      </c>
      <c r="B55" s="72"/>
      <c r="C55" s="72"/>
      <c r="D55" s="72"/>
    </row>
    <row r="57" spans="1:6" ht="18.75">
      <c r="A57" s="73" t="s">
        <v>27</v>
      </c>
      <c r="B57" s="74"/>
      <c r="C57" s="102" t="s">
        <v>28</v>
      </c>
      <c r="D57" s="103"/>
    </row>
    <row r="58" spans="1:6" ht="18.75" hidden="1">
      <c r="A58" s="39" t="s">
        <v>39</v>
      </c>
      <c r="B58" s="34">
        <v>2210</v>
      </c>
      <c r="C58" s="88"/>
      <c r="D58" s="88"/>
    </row>
    <row r="59" spans="1:6" ht="18.75" hidden="1">
      <c r="A59" s="39" t="s">
        <v>33</v>
      </c>
      <c r="B59" s="34">
        <v>2210</v>
      </c>
      <c r="C59" s="89"/>
      <c r="D59" s="90"/>
    </row>
    <row r="60" spans="1:6" ht="18.75" hidden="1">
      <c r="A60" s="39" t="s">
        <v>36</v>
      </c>
      <c r="B60" s="34">
        <v>2210</v>
      </c>
      <c r="C60" s="89"/>
      <c r="D60" s="90"/>
    </row>
    <row r="61" spans="1:6" ht="18.75" hidden="1">
      <c r="A61" s="39" t="s">
        <v>41</v>
      </c>
      <c r="B61" s="35">
        <v>3110.221</v>
      </c>
      <c r="C61" s="89"/>
      <c r="D61" s="90"/>
    </row>
    <row r="62" spans="1:6" ht="18.75" hidden="1">
      <c r="A62" s="39" t="s">
        <v>32</v>
      </c>
      <c r="B62" s="34">
        <v>2210</v>
      </c>
      <c r="C62" s="89"/>
      <c r="D62" s="90"/>
    </row>
    <row r="63" spans="1:6" ht="18.75" hidden="1">
      <c r="A63" s="39" t="s">
        <v>34</v>
      </c>
      <c r="B63" s="34">
        <v>2210</v>
      </c>
      <c r="C63" s="89"/>
      <c r="D63" s="90"/>
    </row>
    <row r="64" spans="1:6" ht="18.75">
      <c r="A64" s="39" t="s">
        <v>40</v>
      </c>
      <c r="B64" s="34">
        <v>2210</v>
      </c>
      <c r="C64" s="89">
        <v>4000</v>
      </c>
      <c r="D64" s="90"/>
    </row>
    <row r="65" spans="1:4" ht="18.75" hidden="1">
      <c r="A65" s="39" t="s">
        <v>35</v>
      </c>
      <c r="B65" s="34">
        <v>3110</v>
      </c>
      <c r="C65" s="89"/>
      <c r="D65" s="90"/>
    </row>
    <row r="66" spans="1:4" ht="18.75" hidden="1">
      <c r="A66" s="39" t="s">
        <v>37</v>
      </c>
      <c r="B66" s="34">
        <v>2210</v>
      </c>
      <c r="C66" s="89"/>
      <c r="D66" s="90"/>
    </row>
    <row r="67" spans="1:4" ht="18.75" hidden="1">
      <c r="A67" s="39" t="s">
        <v>38</v>
      </c>
      <c r="B67" s="34">
        <v>2210</v>
      </c>
      <c r="C67" s="89"/>
      <c r="D67" s="90"/>
    </row>
    <row r="68" spans="1:4" ht="18.75" hidden="1">
      <c r="A68" s="39" t="s">
        <v>50</v>
      </c>
      <c r="B68" s="34">
        <v>2240</v>
      </c>
      <c r="C68" s="89"/>
      <c r="D68" s="90"/>
    </row>
    <row r="69" spans="1:4" ht="18.75" hidden="1">
      <c r="A69" s="39" t="s">
        <v>42</v>
      </c>
      <c r="B69" s="34">
        <v>2230</v>
      </c>
      <c r="C69" s="89"/>
      <c r="D69" s="90"/>
    </row>
    <row r="70" spans="1:4" ht="18.75" hidden="1">
      <c r="A70" s="39" t="s">
        <v>43</v>
      </c>
      <c r="B70" s="34">
        <v>2210</v>
      </c>
      <c r="C70" s="89"/>
      <c r="D70" s="90"/>
    </row>
    <row r="71" spans="1:4" ht="18.75" hidden="1">
      <c r="A71" s="39" t="s">
        <v>49</v>
      </c>
      <c r="B71" s="34">
        <v>2210</v>
      </c>
      <c r="C71" s="89"/>
      <c r="D71" s="90"/>
    </row>
    <row r="72" spans="1:4" ht="18.75" hidden="1">
      <c r="A72" s="39" t="s">
        <v>47</v>
      </c>
      <c r="B72" s="34">
        <v>2210</v>
      </c>
      <c r="C72" s="89"/>
      <c r="D72" s="90"/>
    </row>
    <row r="73" spans="1:4" ht="18.75" hidden="1">
      <c r="A73" s="39" t="s">
        <v>46</v>
      </c>
      <c r="B73" s="34">
        <v>2210</v>
      </c>
      <c r="C73" s="89"/>
      <c r="D73" s="90"/>
    </row>
    <row r="74" spans="1:4" ht="18.75" hidden="1">
      <c r="A74" s="39" t="s">
        <v>48</v>
      </c>
      <c r="B74" s="40">
        <v>2210</v>
      </c>
      <c r="C74" s="89"/>
      <c r="D74" s="90"/>
    </row>
    <row r="75" spans="1:4" ht="18.75">
      <c r="A75" s="79"/>
      <c r="B75" s="80"/>
      <c r="C75" s="89"/>
      <c r="D75" s="90"/>
    </row>
    <row r="76" spans="1:4" ht="18.75">
      <c r="A76" s="79"/>
      <c r="B76" s="80"/>
      <c r="C76" s="91">
        <f>SUM(C58:D75)</f>
        <v>4000</v>
      </c>
      <c r="D76" s="92"/>
    </row>
  </sheetData>
  <mergeCells count="29"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C64:D64"/>
    <mergeCell ref="C65:D65"/>
    <mergeCell ref="C66:D66"/>
    <mergeCell ref="C67:D67"/>
    <mergeCell ref="C68:D68"/>
    <mergeCell ref="A3:D3"/>
    <mergeCell ref="A2:D2"/>
    <mergeCell ref="A5:D5"/>
    <mergeCell ref="A28:D28"/>
    <mergeCell ref="A40:D40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I76"/>
  <sheetViews>
    <sheetView topLeftCell="A7" workbookViewId="0">
      <selection activeCell="F7" sqref="F1:F1048576"/>
    </sheetView>
  </sheetViews>
  <sheetFormatPr defaultRowHeight="15"/>
  <cols>
    <col min="1" max="1" width="40.875" style="3" customWidth="1"/>
    <col min="2" max="2" width="9.75" style="1" customWidth="1"/>
    <col min="3" max="3" width="17.75" style="55" customWidth="1"/>
    <col min="4" max="4" width="15" style="55" customWidth="1"/>
    <col min="5" max="5" width="10.875" hidden="1" customWidth="1"/>
    <col min="6" max="6" width="10.75" customWidth="1"/>
  </cols>
  <sheetData>
    <row r="2" spans="1:7" ht="57" customHeight="1">
      <c r="A2" s="76" t="s">
        <v>69</v>
      </c>
      <c r="B2" s="77"/>
      <c r="C2" s="77"/>
      <c r="D2" s="77"/>
    </row>
    <row r="3" spans="1:7" ht="40.5" customHeight="1">
      <c r="A3" s="86" t="s">
        <v>66</v>
      </c>
      <c r="B3" s="87"/>
      <c r="C3" s="87"/>
      <c r="D3" s="87"/>
    </row>
    <row r="4" spans="1:7" ht="18.75">
      <c r="A4" s="6"/>
      <c r="B4" s="7"/>
      <c r="C4" s="59"/>
      <c r="D4" s="59"/>
    </row>
    <row r="5" spans="1:7" ht="45" customHeight="1">
      <c r="A5" s="83" t="s">
        <v>24</v>
      </c>
      <c r="B5" s="84"/>
      <c r="C5" s="84"/>
      <c r="D5" s="84"/>
    </row>
    <row r="6" spans="1:7" s="2" customFormat="1" ht="72.7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7" s="2" customFormat="1" ht="18.75">
      <c r="A7" s="21" t="s">
        <v>22</v>
      </c>
      <c r="B7" s="16">
        <v>2111</v>
      </c>
      <c r="C7" s="61">
        <f>2152470+342250</f>
        <v>2494720</v>
      </c>
      <c r="D7" s="61">
        <f>1513187.46+206439.71</f>
        <v>1719627.17</v>
      </c>
      <c r="E7" s="25">
        <f>C7-D7</f>
        <v>775092.83000000007</v>
      </c>
      <c r="F7" s="25"/>
    </row>
    <row r="8" spans="1:7" s="2" customFormat="1" ht="18.75">
      <c r="A8" s="21" t="s">
        <v>44</v>
      </c>
      <c r="B8" s="16">
        <v>2120</v>
      </c>
      <c r="C8" s="61">
        <f>473540+76460</f>
        <v>550000</v>
      </c>
      <c r="D8" s="61">
        <f>335095.84+41704.33</f>
        <v>376800.17000000004</v>
      </c>
      <c r="E8" s="25">
        <f t="shared" ref="E8:E26" si="0">C8-D8</f>
        <v>173199.82999999996</v>
      </c>
      <c r="F8" s="25"/>
    </row>
    <row r="9" spans="1:7" ht="37.5">
      <c r="A9" s="11" t="s">
        <v>2</v>
      </c>
      <c r="B9" s="16">
        <v>2210</v>
      </c>
      <c r="C9" s="20">
        <f>32145+1300</f>
        <v>33445</v>
      </c>
      <c r="D9" s="20">
        <v>5025</v>
      </c>
      <c r="E9" s="25">
        <f t="shared" si="0"/>
        <v>28420</v>
      </c>
      <c r="F9" s="25"/>
    </row>
    <row r="10" spans="1:7" ht="18.75">
      <c r="A10" s="39" t="s">
        <v>70</v>
      </c>
      <c r="B10" s="16">
        <v>2220</v>
      </c>
      <c r="C10" s="20">
        <v>3455</v>
      </c>
      <c r="D10" s="20">
        <v>2400</v>
      </c>
      <c r="E10" s="25"/>
      <c r="F10" s="25"/>
    </row>
    <row r="11" spans="1:7" ht="18.75">
      <c r="A11" s="11" t="s">
        <v>3</v>
      </c>
      <c r="B11" s="16">
        <v>2230</v>
      </c>
      <c r="C11" s="20">
        <f>49350+44240</f>
        <v>93590</v>
      </c>
      <c r="D11" s="20">
        <f>22666.8+10704.65</f>
        <v>33371.449999999997</v>
      </c>
      <c r="E11" s="25">
        <f t="shared" si="0"/>
        <v>60218.55</v>
      </c>
      <c r="F11" s="25"/>
      <c r="G11" s="38"/>
    </row>
    <row r="12" spans="1:7" ht="18.75">
      <c r="A12" s="11" t="s">
        <v>4</v>
      </c>
      <c r="B12" s="16">
        <v>2240</v>
      </c>
      <c r="C12" s="20">
        <f>21680+1500</f>
        <v>23180</v>
      </c>
      <c r="D12" s="20">
        <f>518+5653.72</f>
        <v>6171.72</v>
      </c>
      <c r="E12" s="25">
        <f t="shared" si="0"/>
        <v>17008.28</v>
      </c>
      <c r="F12" s="25"/>
    </row>
    <row r="13" spans="1:7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7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7" ht="37.5">
      <c r="A15" s="11" t="s">
        <v>7</v>
      </c>
      <c r="B15" s="16">
        <v>2272</v>
      </c>
      <c r="C15" s="20">
        <f>1820+1360</f>
        <v>3180</v>
      </c>
      <c r="D15" s="20">
        <f>640</f>
        <v>640</v>
      </c>
      <c r="E15" s="25">
        <f t="shared" si="0"/>
        <v>2540</v>
      </c>
      <c r="F15" s="25"/>
    </row>
    <row r="16" spans="1:7" ht="18.75">
      <c r="A16" s="11" t="s">
        <v>8</v>
      </c>
      <c r="B16" s="16">
        <v>2273</v>
      </c>
      <c r="C16" s="20">
        <f>14290+75700</f>
        <v>89990</v>
      </c>
      <c r="D16" s="20">
        <f>42345.69+5701.11</f>
        <v>48046.8</v>
      </c>
      <c r="E16" s="25">
        <f t="shared" si="0"/>
        <v>41943.199999999997</v>
      </c>
      <c r="F16" s="25"/>
    </row>
    <row r="17" spans="1:9" ht="18.75" hidden="1">
      <c r="A17" s="11" t="s">
        <v>9</v>
      </c>
      <c r="B17" s="16">
        <v>2274</v>
      </c>
      <c r="C17" s="20"/>
      <c r="D17" s="20"/>
      <c r="E17" s="25">
        <f t="shared" si="0"/>
        <v>0</v>
      </c>
      <c r="F17" s="25"/>
    </row>
    <row r="18" spans="1:9" ht="18.75">
      <c r="A18" s="11" t="s">
        <v>10</v>
      </c>
      <c r="B18" s="16">
        <v>2275</v>
      </c>
      <c r="C18" s="20">
        <v>205800</v>
      </c>
      <c r="D18" s="20"/>
      <c r="E18" s="25">
        <f t="shared" si="0"/>
        <v>205800</v>
      </c>
      <c r="F18" s="25"/>
    </row>
    <row r="19" spans="1:9" ht="34.5" customHeight="1">
      <c r="A19" s="11" t="s">
        <v>11</v>
      </c>
      <c r="B19" s="16">
        <v>2282</v>
      </c>
      <c r="C19" s="20">
        <v>2000</v>
      </c>
      <c r="D19" s="20">
        <v>990</v>
      </c>
      <c r="E19" s="25">
        <f t="shared" si="0"/>
        <v>1010</v>
      </c>
      <c r="F19" s="25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7100</v>
      </c>
      <c r="D21" s="20">
        <v>5723.63</v>
      </c>
      <c r="E21" s="25">
        <f t="shared" si="0"/>
        <v>1376.37</v>
      </c>
      <c r="F21" s="25"/>
    </row>
    <row r="22" spans="1:9" ht="38.25" customHeight="1">
      <c r="A22" s="11" t="s">
        <v>12</v>
      </c>
      <c r="B22" s="16">
        <v>3110</v>
      </c>
      <c r="C22" s="20">
        <v>54000</v>
      </c>
      <c r="D22" s="20">
        <v>54000</v>
      </c>
      <c r="E22" s="25">
        <f t="shared" si="0"/>
        <v>0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2"/>
      <c r="C26" s="52">
        <f>SUM(C7:C25)</f>
        <v>3560460</v>
      </c>
      <c r="D26" s="52">
        <f>SUM(D7:D25)</f>
        <v>2252795.94</v>
      </c>
      <c r="E26" s="25">
        <f t="shared" si="0"/>
        <v>1307664.06</v>
      </c>
      <c r="F26" s="25"/>
    </row>
    <row r="27" spans="1:9" ht="18.75">
      <c r="A27" s="6"/>
      <c r="B27" s="7"/>
      <c r="C27" s="59"/>
      <c r="D27" s="59"/>
    </row>
    <row r="28" spans="1:9" ht="30" customHeight="1">
      <c r="A28" s="76" t="s">
        <v>25</v>
      </c>
      <c r="B28" s="85"/>
      <c r="C28" s="85"/>
      <c r="D28" s="85"/>
    </row>
    <row r="29" spans="1:9">
      <c r="D29" s="63"/>
    </row>
    <row r="30" spans="1:9" ht="75">
      <c r="A30" s="15" t="s">
        <v>0</v>
      </c>
      <c r="B30" s="15" t="s">
        <v>1</v>
      </c>
      <c r="C30" s="60" t="s">
        <v>23</v>
      </c>
      <c r="D30" s="60" t="s">
        <v>18</v>
      </c>
    </row>
    <row r="31" spans="1:9" ht="37.5">
      <c r="A31" s="11" t="s">
        <v>2</v>
      </c>
      <c r="B31" s="17">
        <v>2210</v>
      </c>
      <c r="C31" s="20">
        <v>0</v>
      </c>
      <c r="D31" s="20"/>
      <c r="F31" s="25"/>
    </row>
    <row r="32" spans="1:9" ht="18.75">
      <c r="A32" s="12" t="s">
        <v>3</v>
      </c>
      <c r="B32" s="17">
        <v>2230</v>
      </c>
      <c r="C32" s="20">
        <f>1520+14300</f>
        <v>15820</v>
      </c>
      <c r="D32" s="51">
        <f>1520+5705.56</f>
        <v>7225.56</v>
      </c>
      <c r="F32" s="25"/>
    </row>
    <row r="33" spans="1:6" ht="18.75" hidden="1">
      <c r="A33" s="12" t="s">
        <v>4</v>
      </c>
      <c r="B33" s="17">
        <v>2240</v>
      </c>
      <c r="C33" s="20"/>
      <c r="D33" s="20"/>
      <c r="F33" s="25"/>
    </row>
    <row r="34" spans="1:6" ht="18.75" hidden="1">
      <c r="A34" s="11" t="s">
        <v>15</v>
      </c>
      <c r="B34" s="17">
        <v>2800</v>
      </c>
      <c r="C34" s="20"/>
      <c r="D34" s="20"/>
      <c r="F34" s="25"/>
    </row>
    <row r="35" spans="1:6" ht="37.5" hidden="1">
      <c r="A35" s="11" t="s">
        <v>12</v>
      </c>
      <c r="B35" s="17">
        <v>3110</v>
      </c>
      <c r="C35" s="20"/>
      <c r="D35" s="20"/>
      <c r="F35" s="25"/>
    </row>
    <row r="36" spans="1:6" ht="18.75" hidden="1">
      <c r="A36" s="18" t="s">
        <v>16</v>
      </c>
      <c r="B36" s="19">
        <v>3132</v>
      </c>
      <c r="C36" s="20"/>
      <c r="D36" s="20"/>
      <c r="F36" s="25"/>
    </row>
    <row r="37" spans="1:6" ht="18.75">
      <c r="A37" s="11" t="s">
        <v>13</v>
      </c>
      <c r="B37" s="17"/>
      <c r="C37" s="52">
        <f>SUM(C31:C36)</f>
        <v>15820</v>
      </c>
      <c r="D37" s="52">
        <f>SUM(D31:D36)</f>
        <v>7225.56</v>
      </c>
      <c r="F37" s="25"/>
    </row>
    <row r="38" spans="1:6">
      <c r="A38" s="1"/>
      <c r="B38" s="5"/>
      <c r="C38" s="58"/>
      <c r="D38" s="58"/>
    </row>
    <row r="39" spans="1:6">
      <c r="A39" s="1"/>
      <c r="B39" s="5"/>
      <c r="C39" s="58"/>
      <c r="D39" s="58"/>
    </row>
    <row r="40" spans="1:6" ht="36.75" customHeight="1">
      <c r="A40" s="71" t="s">
        <v>26</v>
      </c>
      <c r="B40" s="72"/>
      <c r="C40" s="72"/>
      <c r="D40" s="72"/>
    </row>
    <row r="41" spans="1:6">
      <c r="A41" s="1"/>
      <c r="B41" s="5"/>
      <c r="C41" s="58"/>
      <c r="D41" s="58"/>
    </row>
    <row r="42" spans="1:6" ht="75">
      <c r="A42" s="15" t="s">
        <v>0</v>
      </c>
      <c r="B42" s="15" t="s">
        <v>1</v>
      </c>
      <c r="C42" s="60" t="s">
        <v>23</v>
      </c>
      <c r="D42" s="60" t="s">
        <v>18</v>
      </c>
    </row>
    <row r="43" spans="1:6" ht="37.5" hidden="1">
      <c r="A43" s="11" t="s">
        <v>2</v>
      </c>
      <c r="B43" s="17">
        <v>2210</v>
      </c>
      <c r="C43" s="51"/>
      <c r="D43" s="51"/>
      <c r="F43" s="25"/>
    </row>
    <row r="44" spans="1:6" ht="18.75">
      <c r="A44" s="12" t="s">
        <v>3</v>
      </c>
      <c r="B44" s="17">
        <v>2230</v>
      </c>
      <c r="C44" s="51">
        <f>3328.08+2736.93</f>
        <v>6065.01</v>
      </c>
      <c r="D44" s="51">
        <f>3328.08+2736.93</f>
        <v>6065.01</v>
      </c>
      <c r="F44" s="25"/>
    </row>
    <row r="45" spans="1:6" ht="18.75" hidden="1">
      <c r="A45" s="12" t="s">
        <v>4</v>
      </c>
      <c r="B45" s="17">
        <v>2240</v>
      </c>
      <c r="C45" s="51"/>
      <c r="D45" s="51"/>
      <c r="F45" s="25"/>
    </row>
    <row r="46" spans="1:6" ht="18.75" hidden="1">
      <c r="A46" s="39" t="s">
        <v>10</v>
      </c>
      <c r="B46" s="34">
        <v>2275</v>
      </c>
      <c r="C46" s="51"/>
      <c r="D46" s="51"/>
      <c r="F46" s="25"/>
    </row>
    <row r="47" spans="1:6" ht="18.75" hidden="1">
      <c r="A47" s="11" t="s">
        <v>15</v>
      </c>
      <c r="B47" s="17">
        <v>2800</v>
      </c>
      <c r="C47" s="51"/>
      <c r="D47" s="51"/>
      <c r="F47" s="25"/>
    </row>
    <row r="48" spans="1:6" ht="37.5" hidden="1">
      <c r="A48" s="11" t="s">
        <v>12</v>
      </c>
      <c r="B48" s="17">
        <v>3110</v>
      </c>
      <c r="C48" s="51"/>
      <c r="D48" s="51"/>
      <c r="F48" s="25"/>
    </row>
    <row r="49" spans="1:6" ht="18.75" hidden="1">
      <c r="A49" s="18" t="s">
        <v>16</v>
      </c>
      <c r="B49" s="19">
        <v>3132</v>
      </c>
      <c r="C49" s="20"/>
      <c r="D49" s="20"/>
      <c r="F49" s="25"/>
    </row>
    <row r="50" spans="1:6" ht="18.75">
      <c r="A50" s="11" t="s">
        <v>13</v>
      </c>
      <c r="B50" s="17"/>
      <c r="C50" s="52">
        <f>SUM(C43:C49)</f>
        <v>6065.01</v>
      </c>
      <c r="D50" s="52">
        <f>SUM(D43:D49)</f>
        <v>6065.01</v>
      </c>
      <c r="F50" s="25"/>
    </row>
    <row r="51" spans="1:6" ht="18.75">
      <c r="A51" s="42"/>
      <c r="B51" s="43"/>
      <c r="C51" s="64"/>
      <c r="D51" s="64"/>
      <c r="F51" s="25"/>
    </row>
    <row r="52" spans="1:6" ht="18.75">
      <c r="A52" s="42"/>
      <c r="B52" s="43"/>
      <c r="C52" s="64"/>
      <c r="D52" s="64"/>
      <c r="F52" s="25"/>
    </row>
    <row r="55" spans="1:6" ht="34.5" customHeight="1">
      <c r="A55" s="71" t="s">
        <v>68</v>
      </c>
      <c r="B55" s="78"/>
      <c r="C55" s="78"/>
      <c r="D55" s="78"/>
    </row>
    <row r="57" spans="1:6" ht="18.75">
      <c r="A57" s="73" t="s">
        <v>27</v>
      </c>
      <c r="B57" s="74"/>
      <c r="C57" s="102" t="s">
        <v>28</v>
      </c>
      <c r="D57" s="103"/>
    </row>
    <row r="58" spans="1:6" ht="18.75" hidden="1">
      <c r="A58" s="39" t="s">
        <v>39</v>
      </c>
      <c r="B58" s="34">
        <v>2210</v>
      </c>
      <c r="C58" s="104"/>
      <c r="D58" s="104"/>
    </row>
    <row r="59" spans="1:6" ht="18.75" hidden="1">
      <c r="A59" s="39" t="s">
        <v>33</v>
      </c>
      <c r="B59" s="34">
        <v>2210</v>
      </c>
      <c r="C59" s="100"/>
      <c r="D59" s="101"/>
    </row>
    <row r="60" spans="1:6" ht="18.75" hidden="1">
      <c r="A60" s="39" t="s">
        <v>36</v>
      </c>
      <c r="B60" s="34">
        <v>2210</v>
      </c>
      <c r="C60" s="89"/>
      <c r="D60" s="90"/>
    </row>
    <row r="61" spans="1:6" ht="18.75" hidden="1">
      <c r="A61" s="39" t="s">
        <v>41</v>
      </c>
      <c r="B61" s="35">
        <v>3110.221</v>
      </c>
      <c r="C61" s="89"/>
      <c r="D61" s="90"/>
    </row>
    <row r="62" spans="1:6" ht="18.75" hidden="1">
      <c r="A62" s="39" t="s">
        <v>32</v>
      </c>
      <c r="B62" s="34">
        <v>2210</v>
      </c>
      <c r="C62" s="89"/>
      <c r="D62" s="90"/>
    </row>
    <row r="63" spans="1:6" ht="18.75" hidden="1">
      <c r="A63" s="39" t="s">
        <v>34</v>
      </c>
      <c r="B63" s="34">
        <v>2210</v>
      </c>
      <c r="C63" s="89"/>
      <c r="D63" s="90"/>
    </row>
    <row r="64" spans="1:6" ht="18.75" hidden="1">
      <c r="A64" s="39" t="s">
        <v>40</v>
      </c>
      <c r="B64" s="34">
        <v>2210</v>
      </c>
      <c r="C64" s="89"/>
      <c r="D64" s="90"/>
    </row>
    <row r="65" spans="1:4" ht="18.75" hidden="1">
      <c r="A65" s="39" t="s">
        <v>35</v>
      </c>
      <c r="B65" s="34">
        <v>3110</v>
      </c>
      <c r="C65" s="89"/>
      <c r="D65" s="90"/>
    </row>
    <row r="66" spans="1:4" ht="18.75" hidden="1">
      <c r="A66" s="39" t="s">
        <v>37</v>
      </c>
      <c r="B66" s="34">
        <v>2210</v>
      </c>
      <c r="C66" s="89"/>
      <c r="D66" s="90"/>
    </row>
    <row r="67" spans="1:4" ht="18.75" hidden="1">
      <c r="A67" s="39" t="s">
        <v>38</v>
      </c>
      <c r="B67" s="34">
        <v>2210</v>
      </c>
      <c r="C67" s="89"/>
      <c r="D67" s="90"/>
    </row>
    <row r="68" spans="1:4" ht="18.75" hidden="1">
      <c r="A68" s="39" t="s">
        <v>50</v>
      </c>
      <c r="B68" s="34">
        <v>2240</v>
      </c>
      <c r="C68" s="89"/>
      <c r="D68" s="90"/>
    </row>
    <row r="69" spans="1:4" ht="18.75">
      <c r="A69" s="39" t="s">
        <v>42</v>
      </c>
      <c r="B69" s="34">
        <v>2230</v>
      </c>
      <c r="C69" s="89">
        <f>3328.08+2736.93</f>
        <v>6065.01</v>
      </c>
      <c r="D69" s="90"/>
    </row>
    <row r="70" spans="1:4" ht="18.75" hidden="1">
      <c r="A70" s="39" t="s">
        <v>43</v>
      </c>
      <c r="B70" s="34">
        <v>2210</v>
      </c>
      <c r="C70" s="98"/>
      <c r="D70" s="99"/>
    </row>
    <row r="71" spans="1:4" ht="18.75" hidden="1">
      <c r="A71" s="39" t="s">
        <v>49</v>
      </c>
      <c r="B71" s="34">
        <v>2210</v>
      </c>
      <c r="C71" s="89"/>
      <c r="D71" s="90"/>
    </row>
    <row r="72" spans="1:4" ht="18.75" hidden="1">
      <c r="A72" s="39" t="s">
        <v>47</v>
      </c>
      <c r="B72" s="34">
        <v>2210</v>
      </c>
      <c r="C72" s="89"/>
      <c r="D72" s="90"/>
    </row>
    <row r="73" spans="1:4" ht="18.75" hidden="1">
      <c r="A73" s="39" t="s">
        <v>46</v>
      </c>
      <c r="B73" s="34">
        <v>2210</v>
      </c>
      <c r="C73" s="89"/>
      <c r="D73" s="90"/>
    </row>
    <row r="74" spans="1:4" ht="18.75" hidden="1">
      <c r="A74" s="39" t="s">
        <v>48</v>
      </c>
      <c r="B74" s="40">
        <v>2210</v>
      </c>
      <c r="C74" s="89"/>
      <c r="D74" s="90"/>
    </row>
    <row r="75" spans="1:4" ht="18.75">
      <c r="A75" s="79"/>
      <c r="B75" s="80"/>
      <c r="C75" s="89"/>
      <c r="D75" s="90"/>
    </row>
    <row r="76" spans="1:4" ht="18.75">
      <c r="A76" s="79"/>
      <c r="B76" s="80"/>
      <c r="C76" s="91">
        <f>SUM(C58:D75)</f>
        <v>6065.01</v>
      </c>
      <c r="D76" s="92"/>
    </row>
  </sheetData>
  <mergeCells count="29">
    <mergeCell ref="A76:B76"/>
    <mergeCell ref="C76:D76"/>
    <mergeCell ref="C72:D72"/>
    <mergeCell ref="C73:D73"/>
    <mergeCell ref="C74:D74"/>
    <mergeCell ref="A75:B75"/>
    <mergeCell ref="C75:D75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A2:D2"/>
    <mergeCell ref="A5:D5"/>
    <mergeCell ref="A28:D28"/>
    <mergeCell ref="A40:D40"/>
    <mergeCell ref="A57:B57"/>
    <mergeCell ref="C57:D57"/>
    <mergeCell ref="A55:D55"/>
    <mergeCell ref="C59:D59"/>
    <mergeCell ref="C60:D60"/>
    <mergeCell ref="C61:D61"/>
    <mergeCell ref="A3:D3"/>
    <mergeCell ref="C58:D5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I77"/>
  <sheetViews>
    <sheetView tabSelected="1" topLeftCell="A22" zoomScale="90" zoomScaleNormal="90" workbookViewId="0">
      <selection activeCell="I33" sqref="I33"/>
    </sheetView>
  </sheetViews>
  <sheetFormatPr defaultRowHeight="15"/>
  <cols>
    <col min="1" max="1" width="40.875" style="3" customWidth="1"/>
    <col min="2" max="2" width="9.75" style="1" customWidth="1"/>
    <col min="3" max="3" width="17.125" style="55" customWidth="1"/>
    <col min="4" max="4" width="16.375" style="55" customWidth="1"/>
    <col min="5" max="5" width="9.375" hidden="1" customWidth="1"/>
    <col min="6" max="6" width="11" bestFit="1" customWidth="1"/>
  </cols>
  <sheetData>
    <row r="2" spans="1:6" ht="57.75" customHeight="1">
      <c r="A2" s="76" t="s">
        <v>69</v>
      </c>
      <c r="B2" s="77"/>
      <c r="C2" s="77"/>
      <c r="D2" s="77"/>
    </row>
    <row r="3" spans="1:6" ht="38.25" customHeight="1">
      <c r="A3" s="86" t="s">
        <v>51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44.25" customHeight="1">
      <c r="A5" s="83" t="s">
        <v>24</v>
      </c>
      <c r="B5" s="84"/>
      <c r="C5" s="84"/>
      <c r="D5" s="84"/>
    </row>
    <row r="6" spans="1:6" s="2" customFormat="1" ht="73.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v>2416250</v>
      </c>
      <c r="D7" s="61">
        <v>1688160.88</v>
      </c>
      <c r="E7" s="25">
        <f>C7-D7</f>
        <v>728089.12000000011</v>
      </c>
      <c r="F7" s="25"/>
    </row>
    <row r="8" spans="1:6" s="2" customFormat="1" ht="18.75">
      <c r="A8" s="21" t="s">
        <v>44</v>
      </c>
      <c r="B8" s="16">
        <v>2120</v>
      </c>
      <c r="C8" s="61">
        <v>531590</v>
      </c>
      <c r="D8" s="61">
        <v>378143.24</v>
      </c>
      <c r="E8" s="25">
        <f t="shared" ref="E8:E26" si="0">C8-D8</f>
        <v>153446.76</v>
      </c>
      <c r="F8" s="25"/>
    </row>
    <row r="9" spans="1:6" ht="37.5">
      <c r="A9" s="11" t="s">
        <v>2</v>
      </c>
      <c r="B9" s="16">
        <v>2210</v>
      </c>
      <c r="C9" s="20">
        <v>38757</v>
      </c>
      <c r="D9" s="20">
        <v>9655</v>
      </c>
      <c r="E9" s="25">
        <f t="shared" si="0"/>
        <v>29102</v>
      </c>
      <c r="F9" s="25"/>
    </row>
    <row r="10" spans="1:6" ht="18.75">
      <c r="A10" s="39" t="s">
        <v>70</v>
      </c>
      <c r="B10" s="16">
        <v>2220</v>
      </c>
      <c r="C10" s="20">
        <v>2425</v>
      </c>
      <c r="D10" s="20">
        <v>2422.06</v>
      </c>
      <c r="E10" s="25"/>
      <c r="F10" s="25"/>
    </row>
    <row r="11" spans="1:6" ht="18.75">
      <c r="A11" s="11" t="s">
        <v>3</v>
      </c>
      <c r="B11" s="16">
        <v>2230</v>
      </c>
      <c r="C11" s="20">
        <v>38070</v>
      </c>
      <c r="D11" s="20">
        <v>18481.5</v>
      </c>
      <c r="E11" s="25">
        <f t="shared" si="0"/>
        <v>19588.5</v>
      </c>
      <c r="F11" s="25"/>
    </row>
    <row r="12" spans="1:6" ht="18.75">
      <c r="A12" s="11" t="s">
        <v>4</v>
      </c>
      <c r="B12" s="16">
        <v>2240</v>
      </c>
      <c r="C12" s="20">
        <v>33700</v>
      </c>
      <c r="D12" s="20">
        <v>31434.98</v>
      </c>
      <c r="E12" s="25">
        <f t="shared" si="0"/>
        <v>2265.0200000000004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 hidden="1">
      <c r="A15" s="11" t="s">
        <v>7</v>
      </c>
      <c r="B15" s="16">
        <v>2272</v>
      </c>
      <c r="C15" s="20"/>
      <c r="D15" s="20"/>
      <c r="E15" s="25">
        <f t="shared" si="0"/>
        <v>0</v>
      </c>
      <c r="F15" s="25"/>
    </row>
    <row r="16" spans="1:6" ht="18.75">
      <c r="A16" s="11" t="s">
        <v>8</v>
      </c>
      <c r="B16" s="16">
        <v>2273</v>
      </c>
      <c r="C16" s="20">
        <v>52070</v>
      </c>
      <c r="D16" s="20">
        <v>26535.71</v>
      </c>
      <c r="E16" s="25">
        <f t="shared" si="0"/>
        <v>25534.29</v>
      </c>
      <c r="F16" s="25"/>
    </row>
    <row r="17" spans="1:9" ht="18.75" hidden="1">
      <c r="A17" s="11" t="s">
        <v>9</v>
      </c>
      <c r="B17" s="16">
        <v>2274</v>
      </c>
      <c r="C17" s="20"/>
      <c r="D17" s="20"/>
      <c r="E17" s="25">
        <f t="shared" si="0"/>
        <v>0</v>
      </c>
      <c r="F17" s="25"/>
    </row>
    <row r="18" spans="1:9" ht="18.75">
      <c r="A18" s="11" t="s">
        <v>10</v>
      </c>
      <c r="B18" s="16">
        <v>2275</v>
      </c>
      <c r="C18" s="20">
        <v>246857</v>
      </c>
      <c r="D18" s="20"/>
      <c r="E18" s="25">
        <f t="shared" si="0"/>
        <v>246857</v>
      </c>
      <c r="F18" s="25"/>
    </row>
    <row r="19" spans="1:9" ht="33" customHeight="1">
      <c r="A19" s="11" t="s">
        <v>11</v>
      </c>
      <c r="B19" s="16">
        <v>2282</v>
      </c>
      <c r="C19" s="20">
        <v>2000</v>
      </c>
      <c r="D19" s="20">
        <v>1770</v>
      </c>
      <c r="E19" s="25">
        <f t="shared" si="0"/>
        <v>230</v>
      </c>
      <c r="F19" s="25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9600</v>
      </c>
      <c r="D21" s="20">
        <v>8226.7099999999991</v>
      </c>
      <c r="E21" s="25">
        <f t="shared" si="0"/>
        <v>1373.2900000000009</v>
      </c>
      <c r="F21" s="25"/>
    </row>
    <row r="22" spans="1:9" ht="36" customHeight="1">
      <c r="A22" s="11" t="s">
        <v>12</v>
      </c>
      <c r="B22" s="16">
        <v>3110</v>
      </c>
      <c r="C22" s="20">
        <v>54000</v>
      </c>
      <c r="D22" s="20">
        <v>54000</v>
      </c>
      <c r="E22" s="25">
        <f t="shared" si="0"/>
        <v>0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6"/>
      <c r="C26" s="52">
        <f>SUM(C7:C25)</f>
        <v>3425319</v>
      </c>
      <c r="D26" s="52">
        <f>SUM(D7:D25)</f>
        <v>2218830.08</v>
      </c>
      <c r="E26" s="25">
        <f t="shared" si="0"/>
        <v>1206488.92</v>
      </c>
      <c r="F26" s="25"/>
    </row>
    <row r="27" spans="1:9" ht="18.75">
      <c r="A27" s="6"/>
      <c r="B27" s="7"/>
      <c r="C27" s="59"/>
      <c r="D27" s="59"/>
    </row>
    <row r="28" spans="1:9" ht="18.75">
      <c r="A28" s="6"/>
      <c r="B28" s="7"/>
      <c r="C28" s="59"/>
      <c r="D28" s="59"/>
    </row>
    <row r="29" spans="1:9" ht="32.25" customHeight="1">
      <c r="A29" s="76" t="s">
        <v>25</v>
      </c>
      <c r="B29" s="85"/>
      <c r="C29" s="85"/>
      <c r="D29" s="85"/>
    </row>
    <row r="30" spans="1:9" ht="18.75">
      <c r="A30" s="26"/>
      <c r="B30" s="28"/>
      <c r="C30" s="67"/>
      <c r="D30" s="63"/>
    </row>
    <row r="31" spans="1:9" ht="75">
      <c r="A31" s="15" t="s">
        <v>0</v>
      </c>
      <c r="B31" s="15" t="s">
        <v>1</v>
      </c>
      <c r="C31" s="60"/>
      <c r="D31" s="60" t="s">
        <v>18</v>
      </c>
    </row>
    <row r="32" spans="1:9" ht="37.5">
      <c r="A32" s="11" t="s">
        <v>2</v>
      </c>
      <c r="B32" s="17">
        <v>2210</v>
      </c>
      <c r="C32" s="51">
        <v>4456</v>
      </c>
      <c r="D32" s="20">
        <f>6+4421</f>
        <v>4427</v>
      </c>
      <c r="F32" s="25"/>
    </row>
    <row r="33" spans="1:6" ht="18.75">
      <c r="A33" s="12" t="s">
        <v>3</v>
      </c>
      <c r="B33" s="17">
        <v>2230</v>
      </c>
      <c r="C33" s="20">
        <v>1920</v>
      </c>
      <c r="D33" s="20">
        <v>1919</v>
      </c>
      <c r="F33" s="25"/>
    </row>
    <row r="34" spans="1:6" ht="18.75" hidden="1">
      <c r="A34" s="12" t="s">
        <v>4</v>
      </c>
      <c r="B34" s="17">
        <v>2240</v>
      </c>
      <c r="C34" s="20"/>
      <c r="D34" s="20"/>
      <c r="F34" s="25"/>
    </row>
    <row r="35" spans="1:6" ht="18.75" hidden="1">
      <c r="A35" s="39" t="s">
        <v>10</v>
      </c>
      <c r="B35" s="34">
        <v>2275</v>
      </c>
      <c r="C35" s="20"/>
      <c r="D35" s="20"/>
      <c r="F35" s="25"/>
    </row>
    <row r="36" spans="1:6" ht="18.75" hidden="1">
      <c r="A36" s="11" t="s">
        <v>15</v>
      </c>
      <c r="B36" s="17">
        <v>2800</v>
      </c>
      <c r="C36" s="51"/>
      <c r="D36" s="20"/>
      <c r="F36" s="25"/>
    </row>
    <row r="37" spans="1:6" ht="37.5" hidden="1">
      <c r="A37" s="11" t="s">
        <v>12</v>
      </c>
      <c r="B37" s="17">
        <v>3110</v>
      </c>
      <c r="C37" s="20"/>
      <c r="D37" s="20"/>
      <c r="F37" s="25"/>
    </row>
    <row r="38" spans="1:6" ht="18.75" hidden="1">
      <c r="A38" s="18" t="s">
        <v>16</v>
      </c>
      <c r="B38" s="19">
        <v>3132</v>
      </c>
      <c r="C38" s="20"/>
      <c r="D38" s="20"/>
      <c r="F38" s="25"/>
    </row>
    <row r="39" spans="1:6" ht="18.75">
      <c r="A39" s="11" t="s">
        <v>13</v>
      </c>
      <c r="B39" s="17"/>
      <c r="C39" s="52">
        <f>SUM(C32:C38)</f>
        <v>6376</v>
      </c>
      <c r="D39" s="52">
        <f>SUM(D32:D38)</f>
        <v>6346</v>
      </c>
      <c r="F39" s="25"/>
    </row>
    <row r="40" spans="1:6">
      <c r="A40" s="1"/>
      <c r="B40" s="5"/>
      <c r="C40" s="58"/>
      <c r="D40" s="58"/>
    </row>
    <row r="41" spans="1:6">
      <c r="A41" s="1"/>
      <c r="B41" s="5"/>
      <c r="C41" s="58"/>
      <c r="D41" s="58"/>
    </row>
    <row r="42" spans="1:6" ht="35.25" customHeight="1">
      <c r="A42" s="71" t="s">
        <v>26</v>
      </c>
      <c r="B42" s="72"/>
      <c r="C42" s="72"/>
      <c r="D42" s="72"/>
    </row>
    <row r="43" spans="1:6">
      <c r="A43" s="1"/>
      <c r="B43" s="5"/>
      <c r="C43" s="58"/>
      <c r="D43" s="58"/>
    </row>
    <row r="44" spans="1:6" ht="75">
      <c r="A44" s="15" t="s">
        <v>0</v>
      </c>
      <c r="B44" s="15" t="s">
        <v>1</v>
      </c>
      <c r="C44" s="60" t="s">
        <v>23</v>
      </c>
      <c r="D44" s="60" t="s">
        <v>18</v>
      </c>
    </row>
    <row r="45" spans="1:6" ht="37.5" hidden="1">
      <c r="A45" s="11" t="s">
        <v>2</v>
      </c>
      <c r="B45" s="17">
        <v>2210</v>
      </c>
      <c r="C45" s="20"/>
      <c r="D45" s="20"/>
      <c r="F45" s="25"/>
    </row>
    <row r="46" spans="1:6" ht="18.75">
      <c r="A46" s="12" t="s">
        <v>3</v>
      </c>
      <c r="B46" s="17">
        <v>2230</v>
      </c>
      <c r="C46" s="20">
        <v>4370.3900000000003</v>
      </c>
      <c r="D46" s="20">
        <v>4370.3900000000003</v>
      </c>
      <c r="F46" s="25"/>
    </row>
    <row r="47" spans="1:6" ht="18.75" hidden="1">
      <c r="A47" s="12" t="s">
        <v>4</v>
      </c>
      <c r="B47" s="17">
        <v>2240</v>
      </c>
      <c r="C47" s="20"/>
      <c r="D47" s="20"/>
      <c r="F47" s="25"/>
    </row>
    <row r="48" spans="1:6" ht="18.75" hidden="1">
      <c r="A48" s="39" t="s">
        <v>10</v>
      </c>
      <c r="B48" s="34">
        <v>2275</v>
      </c>
      <c r="C48" s="20"/>
      <c r="D48" s="20"/>
      <c r="F48" s="25"/>
    </row>
    <row r="49" spans="1:6" ht="18.75" hidden="1">
      <c r="A49" s="11" t="s">
        <v>15</v>
      </c>
      <c r="B49" s="17">
        <v>2800</v>
      </c>
      <c r="C49" s="20"/>
      <c r="D49" s="20"/>
      <c r="F49" s="25"/>
    </row>
    <row r="50" spans="1:6" ht="37.5" hidden="1">
      <c r="A50" s="11" t="s">
        <v>12</v>
      </c>
      <c r="B50" s="17">
        <v>3110</v>
      </c>
      <c r="C50" s="20"/>
      <c r="D50" s="20"/>
      <c r="F50" s="25"/>
    </row>
    <row r="51" spans="1:6" ht="18.75" hidden="1">
      <c r="A51" s="18" t="s">
        <v>16</v>
      </c>
      <c r="B51" s="19">
        <v>3132</v>
      </c>
      <c r="C51" s="20"/>
      <c r="D51" s="20"/>
      <c r="F51" s="25"/>
    </row>
    <row r="52" spans="1:6" ht="18.75">
      <c r="A52" s="11" t="s">
        <v>13</v>
      </c>
      <c r="B52" s="17"/>
      <c r="C52" s="52">
        <f>C45+C46+C49+C50+C51</f>
        <v>4370.3900000000003</v>
      </c>
      <c r="D52" s="52">
        <f>D45+D46+D49+D50+D51</f>
        <v>4370.3900000000003</v>
      </c>
      <c r="F52" s="25"/>
    </row>
    <row r="55" spans="1:6" ht="57.75" customHeight="1">
      <c r="A55" s="71" t="s">
        <v>68</v>
      </c>
      <c r="B55" s="78"/>
      <c r="C55" s="78"/>
      <c r="D55" s="78"/>
    </row>
    <row r="56" spans="1:6" ht="18" customHeight="1">
      <c r="A56" s="71"/>
      <c r="B56" s="72"/>
      <c r="C56" s="72"/>
      <c r="D56" s="72"/>
    </row>
    <row r="58" spans="1:6" ht="18.75">
      <c r="A58" s="73" t="s">
        <v>27</v>
      </c>
      <c r="B58" s="74"/>
      <c r="C58" s="102" t="s">
        <v>28</v>
      </c>
      <c r="D58" s="103"/>
    </row>
    <row r="59" spans="1:6" ht="18.75" hidden="1">
      <c r="A59" s="39" t="s">
        <v>39</v>
      </c>
      <c r="B59" s="34">
        <v>2210</v>
      </c>
      <c r="C59" s="104"/>
      <c r="D59" s="104"/>
    </row>
    <row r="60" spans="1:6" ht="18.75" hidden="1">
      <c r="A60" s="39" t="s">
        <v>33</v>
      </c>
      <c r="B60" s="34">
        <v>2210</v>
      </c>
      <c r="C60" s="100"/>
      <c r="D60" s="101"/>
    </row>
    <row r="61" spans="1:6" ht="18.75" hidden="1">
      <c r="A61" s="39" t="s">
        <v>36</v>
      </c>
      <c r="B61" s="34">
        <v>2210</v>
      </c>
      <c r="C61" s="100"/>
      <c r="D61" s="101"/>
    </row>
    <row r="62" spans="1:6" ht="18.75" hidden="1">
      <c r="A62" s="39" t="s">
        <v>41</v>
      </c>
      <c r="B62" s="35">
        <v>3110.221</v>
      </c>
      <c r="C62" s="89"/>
      <c r="D62" s="90"/>
    </row>
    <row r="63" spans="1:6" ht="18.75" hidden="1">
      <c r="A63" s="39" t="s">
        <v>32</v>
      </c>
      <c r="B63" s="34">
        <v>2210</v>
      </c>
      <c r="C63" s="100"/>
      <c r="D63" s="101"/>
    </row>
    <row r="64" spans="1:6" ht="18.75" hidden="1">
      <c r="A64" s="39" t="s">
        <v>34</v>
      </c>
      <c r="B64" s="34">
        <v>2210</v>
      </c>
      <c r="C64" s="100"/>
      <c r="D64" s="101"/>
    </row>
    <row r="65" spans="1:4" ht="18.75" hidden="1">
      <c r="A65" s="39" t="s">
        <v>40</v>
      </c>
      <c r="B65" s="34">
        <v>2210</v>
      </c>
      <c r="C65" s="100"/>
      <c r="D65" s="101"/>
    </row>
    <row r="66" spans="1:4" ht="18.75" hidden="1">
      <c r="A66" s="39" t="s">
        <v>35</v>
      </c>
      <c r="B66" s="34">
        <v>3110</v>
      </c>
      <c r="C66" s="89"/>
      <c r="D66" s="90"/>
    </row>
    <row r="67" spans="1:4" ht="18.75" hidden="1">
      <c r="A67" s="39" t="s">
        <v>37</v>
      </c>
      <c r="B67" s="34">
        <v>2210</v>
      </c>
      <c r="C67" s="89"/>
      <c r="D67" s="90"/>
    </row>
    <row r="68" spans="1:4" ht="18.75" hidden="1">
      <c r="A68" s="39" t="s">
        <v>38</v>
      </c>
      <c r="B68" s="34">
        <v>2210</v>
      </c>
      <c r="C68" s="89"/>
      <c r="D68" s="90"/>
    </row>
    <row r="69" spans="1:4" ht="18.75" hidden="1">
      <c r="A69" s="39" t="s">
        <v>50</v>
      </c>
      <c r="B69" s="34">
        <v>2240</v>
      </c>
      <c r="C69" s="89"/>
      <c r="D69" s="90"/>
    </row>
    <row r="70" spans="1:4" ht="18.75">
      <c r="A70" s="39" t="s">
        <v>42</v>
      </c>
      <c r="B70" s="34">
        <v>2230</v>
      </c>
      <c r="C70" s="89">
        <f>3467.02+903.37</f>
        <v>4370.3900000000003</v>
      </c>
      <c r="D70" s="90"/>
    </row>
    <row r="71" spans="1:4" ht="18.75" hidden="1">
      <c r="A71" s="39" t="s">
        <v>43</v>
      </c>
      <c r="B71" s="34">
        <v>2210</v>
      </c>
      <c r="C71" s="89"/>
      <c r="D71" s="90"/>
    </row>
    <row r="72" spans="1:4" ht="18.75" hidden="1">
      <c r="A72" s="39" t="s">
        <v>49</v>
      </c>
      <c r="B72" s="34">
        <v>2210</v>
      </c>
      <c r="C72" s="89"/>
      <c r="D72" s="90"/>
    </row>
    <row r="73" spans="1:4" ht="18.75" hidden="1">
      <c r="A73" s="39" t="s">
        <v>47</v>
      </c>
      <c r="B73" s="34">
        <v>2210</v>
      </c>
      <c r="C73" s="89"/>
      <c r="D73" s="90"/>
    </row>
    <row r="74" spans="1:4" ht="18.75" hidden="1">
      <c r="A74" s="39" t="s">
        <v>46</v>
      </c>
      <c r="B74" s="34">
        <v>2210</v>
      </c>
      <c r="C74" s="89"/>
      <c r="D74" s="90"/>
    </row>
    <row r="75" spans="1:4" ht="18.75" hidden="1">
      <c r="A75" s="39" t="s">
        <v>48</v>
      </c>
      <c r="B75" s="40">
        <v>2210</v>
      </c>
      <c r="C75" s="89"/>
      <c r="D75" s="90"/>
    </row>
    <row r="76" spans="1:4" ht="18.75" hidden="1">
      <c r="A76" s="79"/>
      <c r="B76" s="80"/>
      <c r="C76" s="89"/>
      <c r="D76" s="90"/>
    </row>
    <row r="77" spans="1:4" ht="18.75">
      <c r="A77" s="79"/>
      <c r="B77" s="80"/>
      <c r="C77" s="91">
        <f>SUM(C59:D76)</f>
        <v>4370.3900000000003</v>
      </c>
      <c r="D77" s="92"/>
    </row>
  </sheetData>
  <mergeCells count="30">
    <mergeCell ref="A77:B77"/>
    <mergeCell ref="C77:D77"/>
    <mergeCell ref="C72:D72"/>
    <mergeCell ref="C73:D73"/>
    <mergeCell ref="C74:D74"/>
    <mergeCell ref="C75:D75"/>
    <mergeCell ref="A76:B76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A58:B58"/>
    <mergeCell ref="C58:D58"/>
    <mergeCell ref="C59:D59"/>
    <mergeCell ref="C60:D60"/>
    <mergeCell ref="C61:D61"/>
    <mergeCell ref="A56:D56"/>
    <mergeCell ref="A3:D3"/>
    <mergeCell ref="A2:D2"/>
    <mergeCell ref="A5:D5"/>
    <mergeCell ref="A29:D29"/>
    <mergeCell ref="A42:D42"/>
    <mergeCell ref="A55:D5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5"/>
  <sheetData>
    <row r="2" spans="1:1" ht="18.75">
      <c r="A2" s="7" t="s">
        <v>63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8.75">
      <c r="A53" s="7" t="s">
        <v>61</v>
      </c>
    </row>
    <row r="54" spans="1:4" ht="18.75">
      <c r="A54" s="7" t="s">
        <v>64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79"/>
  <sheetViews>
    <sheetView topLeftCell="A8" workbookViewId="0">
      <selection activeCell="F8" sqref="F1:F1048576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style="55" customWidth="1"/>
    <col min="5" max="5" width="10.75" hidden="1" customWidth="1"/>
    <col min="6" max="6" width="11.75" customWidth="1"/>
    <col min="8" max="8" width="12.125" customWidth="1"/>
    <col min="9" max="9" width="11.375" customWidth="1"/>
  </cols>
  <sheetData>
    <row r="2" spans="1:8" ht="62.25" customHeight="1">
      <c r="A2" s="76" t="s">
        <v>69</v>
      </c>
      <c r="B2" s="77"/>
      <c r="C2" s="77"/>
      <c r="D2" s="77"/>
    </row>
    <row r="3" spans="1:8" ht="73.5" customHeight="1">
      <c r="A3" s="86" t="s">
        <v>53</v>
      </c>
      <c r="B3" s="87"/>
      <c r="C3" s="87"/>
      <c r="D3" s="87"/>
    </row>
    <row r="4" spans="1:8" ht="18.75">
      <c r="A4" s="6"/>
      <c r="B4" s="7"/>
      <c r="C4" s="8"/>
      <c r="D4" s="59"/>
    </row>
    <row r="5" spans="1:8" ht="45" customHeight="1">
      <c r="A5" s="83" t="s">
        <v>24</v>
      </c>
      <c r="B5" s="84"/>
      <c r="C5" s="84"/>
      <c r="D5" s="84"/>
    </row>
    <row r="6" spans="1:8" s="2" customFormat="1" ht="78" customHeight="1">
      <c r="A6" s="9" t="s">
        <v>0</v>
      </c>
      <c r="B6" s="9" t="s">
        <v>1</v>
      </c>
      <c r="C6" s="10" t="s">
        <v>23</v>
      </c>
      <c r="D6" s="60" t="s">
        <v>17</v>
      </c>
    </row>
    <row r="7" spans="1:8" s="2" customFormat="1" ht="18.75">
      <c r="A7" s="21" t="s">
        <v>22</v>
      </c>
      <c r="B7" s="16">
        <v>2111</v>
      </c>
      <c r="C7" s="61">
        <f>2365410+294700</f>
        <v>2660110</v>
      </c>
      <c r="D7" s="61">
        <f>1663082.84+216390.1</f>
        <v>1879472.9400000002</v>
      </c>
      <c r="E7" s="25">
        <f>C7-D7</f>
        <v>780637.05999999982</v>
      </c>
      <c r="F7" s="25"/>
    </row>
    <row r="8" spans="1:8" s="2" customFormat="1" ht="18.75">
      <c r="A8" s="21" t="s">
        <v>44</v>
      </c>
      <c r="B8" s="16">
        <v>2120</v>
      </c>
      <c r="C8" s="61">
        <f>520390+65840</f>
        <v>586230</v>
      </c>
      <c r="D8" s="61">
        <f>364716.36+52396.04</f>
        <v>417112.39999999997</v>
      </c>
      <c r="E8" s="25">
        <f t="shared" ref="E8:E26" si="0">C8-D8</f>
        <v>169117.60000000003</v>
      </c>
      <c r="F8" s="25"/>
    </row>
    <row r="9" spans="1:8" ht="37.5">
      <c r="A9" s="11" t="s">
        <v>2</v>
      </c>
      <c r="B9" s="17">
        <v>2210</v>
      </c>
      <c r="C9" s="20">
        <f>288276+1300</f>
        <v>289576</v>
      </c>
      <c r="D9" s="20">
        <v>103335.1</v>
      </c>
      <c r="E9" s="25">
        <f t="shared" si="0"/>
        <v>186240.9</v>
      </c>
      <c r="F9" s="25"/>
    </row>
    <row r="10" spans="1:8" ht="18.75">
      <c r="A10" s="39" t="s">
        <v>70</v>
      </c>
      <c r="B10" s="17">
        <v>2220</v>
      </c>
      <c r="C10" s="20">
        <v>2420</v>
      </c>
      <c r="D10" s="20">
        <v>2400</v>
      </c>
      <c r="E10" s="25"/>
      <c r="F10" s="25"/>
    </row>
    <row r="11" spans="1:8" ht="18.75">
      <c r="A11" s="11" t="s">
        <v>3</v>
      </c>
      <c r="B11" s="17">
        <v>2230</v>
      </c>
      <c r="C11" s="20">
        <f>53880+49940</f>
        <v>103820</v>
      </c>
      <c r="D11" s="20">
        <f>24118.2+15933.79</f>
        <v>40051.990000000005</v>
      </c>
      <c r="E11" s="25">
        <f t="shared" si="0"/>
        <v>63768.009999999995</v>
      </c>
      <c r="F11" s="25"/>
    </row>
    <row r="12" spans="1:8" ht="18.75">
      <c r="A12" s="11" t="s">
        <v>4</v>
      </c>
      <c r="B12" s="17">
        <v>2240</v>
      </c>
      <c r="C12" s="20">
        <v>53330</v>
      </c>
      <c r="D12" s="20">
        <f>40174.6+130.83</f>
        <v>40305.43</v>
      </c>
      <c r="E12" s="25">
        <f t="shared" si="0"/>
        <v>13024.57</v>
      </c>
      <c r="F12" s="25"/>
    </row>
    <row r="13" spans="1:8" ht="18.75" hidden="1">
      <c r="A13" s="11" t="s">
        <v>5</v>
      </c>
      <c r="B13" s="17">
        <v>2250</v>
      </c>
      <c r="C13" s="20"/>
      <c r="D13" s="20"/>
      <c r="E13" s="25">
        <f t="shared" si="0"/>
        <v>0</v>
      </c>
      <c r="F13" s="25"/>
    </row>
    <row r="14" spans="1:8" ht="18.75" hidden="1">
      <c r="A14" s="11" t="s">
        <v>6</v>
      </c>
      <c r="B14" s="17">
        <v>2271</v>
      </c>
      <c r="C14" s="20"/>
      <c r="D14" s="20"/>
      <c r="E14" s="25">
        <f t="shared" si="0"/>
        <v>0</v>
      </c>
      <c r="F14" s="25"/>
      <c r="H14" s="4">
        <f>D9+D10+D11+D12+D15+D16+D17+D19</f>
        <v>329165.04000000004</v>
      </c>
    </row>
    <row r="15" spans="1:8" ht="37.5">
      <c r="A15" s="11" t="s">
        <v>7</v>
      </c>
      <c r="B15" s="17">
        <v>2272</v>
      </c>
      <c r="C15" s="20">
        <f>5040+340</f>
        <v>5380</v>
      </c>
      <c r="D15" s="20">
        <f>1680+560</f>
        <v>2240</v>
      </c>
      <c r="E15" s="25">
        <f t="shared" si="0"/>
        <v>3140</v>
      </c>
      <c r="F15" s="25"/>
    </row>
    <row r="16" spans="1:8" ht="18.75">
      <c r="A16" s="11" t="s">
        <v>8</v>
      </c>
      <c r="B16" s="17">
        <v>2273</v>
      </c>
      <c r="C16" s="20">
        <f>66050+15340</f>
        <v>81390</v>
      </c>
      <c r="D16" s="20">
        <f>41231.15+5904.8</f>
        <v>47135.950000000004</v>
      </c>
      <c r="E16" s="25">
        <f t="shared" si="0"/>
        <v>34254.049999999996</v>
      </c>
      <c r="F16" s="25"/>
    </row>
    <row r="17" spans="1:9" ht="18.75">
      <c r="A17" s="11" t="s">
        <v>9</v>
      </c>
      <c r="B17" s="17">
        <v>2274</v>
      </c>
      <c r="C17" s="20">
        <f>263950+125250</f>
        <v>389200</v>
      </c>
      <c r="D17" s="20">
        <f>61934.87+30771.7</f>
        <v>92706.57</v>
      </c>
      <c r="E17" s="25">
        <f t="shared" si="0"/>
        <v>296493.43</v>
      </c>
      <c r="F17" s="25"/>
      <c r="I17" s="4"/>
    </row>
    <row r="18" spans="1:9" ht="18.75" hidden="1">
      <c r="A18" s="11" t="s">
        <v>10</v>
      </c>
      <c r="B18" s="17">
        <v>2275</v>
      </c>
      <c r="C18" s="13"/>
      <c r="D18" s="20"/>
      <c r="E18" s="25">
        <f t="shared" si="0"/>
        <v>0</v>
      </c>
      <c r="F18" s="25"/>
    </row>
    <row r="19" spans="1:9" ht="33" customHeight="1">
      <c r="A19" s="11" t="s">
        <v>11</v>
      </c>
      <c r="B19" s="17">
        <v>2282</v>
      </c>
      <c r="C19" s="13">
        <v>2000</v>
      </c>
      <c r="D19" s="20">
        <v>990</v>
      </c>
      <c r="E19" s="25">
        <f t="shared" si="0"/>
        <v>1010</v>
      </c>
      <c r="F19" s="25"/>
      <c r="I19" s="4"/>
    </row>
    <row r="20" spans="1:9" ht="18" customHeight="1">
      <c r="A20" s="11" t="s">
        <v>14</v>
      </c>
      <c r="B20" s="17">
        <v>2730</v>
      </c>
      <c r="C20" s="13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7">
        <v>2800</v>
      </c>
      <c r="C21" s="20">
        <v>680</v>
      </c>
      <c r="D21" s="20">
        <v>483.67</v>
      </c>
      <c r="E21" s="25">
        <f t="shared" si="0"/>
        <v>196.32999999999998</v>
      </c>
      <c r="F21" s="25"/>
    </row>
    <row r="22" spans="1:9" ht="36.75" customHeight="1">
      <c r="A22" s="11" t="s">
        <v>12</v>
      </c>
      <c r="B22" s="17">
        <v>3110</v>
      </c>
      <c r="C22" s="20">
        <v>168018</v>
      </c>
      <c r="D22" s="20">
        <v>164000</v>
      </c>
      <c r="E22" s="25">
        <f t="shared" si="0"/>
        <v>4018</v>
      </c>
      <c r="F22" s="25"/>
      <c r="H22" s="37"/>
    </row>
    <row r="23" spans="1:9" ht="37.5" hidden="1">
      <c r="A23" s="11" t="s">
        <v>20</v>
      </c>
      <c r="B23" s="17">
        <v>3122</v>
      </c>
      <c r="C23" s="13"/>
      <c r="D23" s="20"/>
      <c r="E23" s="25">
        <f t="shared" si="0"/>
        <v>0</v>
      </c>
      <c r="F23" s="25"/>
    </row>
    <row r="24" spans="1:9" ht="18.75" hidden="1">
      <c r="A24" s="11" t="s">
        <v>21</v>
      </c>
      <c r="B24" s="17">
        <v>3132</v>
      </c>
      <c r="C24" s="13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7">
        <v>3142</v>
      </c>
      <c r="C25" s="13"/>
      <c r="D25" s="20"/>
      <c r="E25" s="25">
        <f t="shared" si="0"/>
        <v>0</v>
      </c>
      <c r="F25" s="25"/>
    </row>
    <row r="26" spans="1:9" ht="18.75">
      <c r="A26" s="11" t="s">
        <v>13</v>
      </c>
      <c r="B26" s="17"/>
      <c r="C26" s="14">
        <f>SUM(C7:C25)</f>
        <v>4342154</v>
      </c>
      <c r="D26" s="62">
        <f>SUM(D7:D25)</f>
        <v>2790234.0500000007</v>
      </c>
      <c r="E26" s="25">
        <f t="shared" si="0"/>
        <v>1551919.9499999993</v>
      </c>
      <c r="F26" s="25"/>
    </row>
    <row r="27" spans="1:9">
      <c r="C27" s="4"/>
      <c r="D27" s="58"/>
    </row>
    <row r="28" spans="1:9">
      <c r="C28" s="4"/>
      <c r="D28" s="58"/>
    </row>
    <row r="29" spans="1:9" ht="30.75" customHeight="1">
      <c r="A29" s="76" t="s">
        <v>25</v>
      </c>
      <c r="B29" s="85"/>
      <c r="C29" s="85"/>
      <c r="D29" s="85"/>
      <c r="F29" s="50"/>
    </row>
    <row r="30" spans="1:9">
      <c r="D30" s="63"/>
    </row>
    <row r="31" spans="1:9" ht="75">
      <c r="A31" s="15" t="s">
        <v>0</v>
      </c>
      <c r="B31" s="15" t="s">
        <v>1</v>
      </c>
      <c r="C31" s="10" t="s">
        <v>23</v>
      </c>
      <c r="D31" s="60" t="s">
        <v>18</v>
      </c>
    </row>
    <row r="32" spans="1:9" ht="37.5">
      <c r="A32" s="11" t="s">
        <v>2</v>
      </c>
      <c r="B32" s="17">
        <v>2210</v>
      </c>
      <c r="C32" s="51">
        <f>13+1770</f>
        <v>1783</v>
      </c>
      <c r="D32" s="51">
        <f>13+972.8</f>
        <v>985.8</v>
      </c>
      <c r="F32" s="25"/>
    </row>
    <row r="33" spans="1:6" ht="18.75">
      <c r="A33" s="12" t="s">
        <v>3</v>
      </c>
      <c r="B33" s="17">
        <v>2230</v>
      </c>
      <c r="C33" s="53">
        <v>19440</v>
      </c>
      <c r="D33" s="53">
        <v>3973.88</v>
      </c>
      <c r="F33" s="25"/>
    </row>
    <row r="34" spans="1:6" ht="18.75" hidden="1">
      <c r="A34" s="12" t="s">
        <v>4</v>
      </c>
      <c r="B34" s="17">
        <v>2240</v>
      </c>
      <c r="C34" s="51"/>
      <c r="D34" s="51"/>
      <c r="F34" s="25"/>
    </row>
    <row r="35" spans="1:6" ht="18.75" hidden="1">
      <c r="A35" s="39" t="s">
        <v>10</v>
      </c>
      <c r="B35" s="17">
        <v>2275</v>
      </c>
      <c r="C35" s="51"/>
      <c r="D35" s="51"/>
      <c r="F35" s="25"/>
    </row>
    <row r="36" spans="1:6" ht="18.75" hidden="1">
      <c r="A36" s="11" t="s">
        <v>15</v>
      </c>
      <c r="B36" s="17">
        <v>2800</v>
      </c>
      <c r="C36" s="51"/>
      <c r="D36" s="51"/>
      <c r="F36" s="25"/>
    </row>
    <row r="37" spans="1:6" ht="37.5" hidden="1">
      <c r="A37" s="11" t="s">
        <v>12</v>
      </c>
      <c r="B37" s="17">
        <v>3110</v>
      </c>
      <c r="C37" s="51"/>
      <c r="D37" s="51"/>
      <c r="F37" s="25"/>
    </row>
    <row r="38" spans="1:6" ht="18.75" hidden="1">
      <c r="A38" s="18" t="s">
        <v>16</v>
      </c>
      <c r="B38" s="19">
        <v>3132</v>
      </c>
      <c r="C38" s="20"/>
      <c r="D38" s="20"/>
      <c r="F38" s="25"/>
    </row>
    <row r="39" spans="1:6" ht="18.75">
      <c r="A39" s="11" t="s">
        <v>13</v>
      </c>
      <c r="B39" s="17"/>
      <c r="C39" s="52">
        <f>SUM(C32:C38)</f>
        <v>21223</v>
      </c>
      <c r="D39" s="52">
        <f>SUM(D32:D38)</f>
        <v>4959.68</v>
      </c>
      <c r="F39" s="25"/>
    </row>
    <row r="40" spans="1:6">
      <c r="A40" s="1"/>
      <c r="B40" s="5"/>
      <c r="C40" s="4"/>
      <c r="D40" s="58"/>
    </row>
    <row r="41" spans="1:6">
      <c r="A41" s="1"/>
      <c r="B41" s="5"/>
      <c r="C41" s="4"/>
      <c r="D41" s="58"/>
    </row>
    <row r="42" spans="1:6" ht="33.75" customHeight="1">
      <c r="A42" s="71" t="s">
        <v>26</v>
      </c>
      <c r="B42" s="72"/>
      <c r="C42" s="72"/>
      <c r="D42" s="72"/>
    </row>
    <row r="43" spans="1:6">
      <c r="A43" s="1"/>
      <c r="B43" s="5"/>
      <c r="C43" s="4"/>
      <c r="D43" s="58"/>
    </row>
    <row r="44" spans="1:6" ht="75">
      <c r="A44" s="15" t="s">
        <v>0</v>
      </c>
      <c r="B44" s="15" t="s">
        <v>1</v>
      </c>
      <c r="C44" s="10" t="s">
        <v>23</v>
      </c>
      <c r="D44" s="60" t="s">
        <v>18</v>
      </c>
      <c r="F44" s="50"/>
    </row>
    <row r="45" spans="1:6" ht="37.5" hidden="1">
      <c r="A45" s="11" t="s">
        <v>2</v>
      </c>
      <c r="B45" s="17">
        <v>2210</v>
      </c>
      <c r="C45" s="36"/>
      <c r="D45" s="81"/>
      <c r="E45" s="82"/>
      <c r="F45" s="25"/>
    </row>
    <row r="46" spans="1:6" ht="18.75">
      <c r="A46" s="12" t="s">
        <v>3</v>
      </c>
      <c r="B46" s="17">
        <v>2230</v>
      </c>
      <c r="C46" s="51">
        <f>4633.34+3174.13</f>
        <v>7807.47</v>
      </c>
      <c r="D46" s="89">
        <f>4633.34+3174.13</f>
        <v>7807.47</v>
      </c>
      <c r="E46" s="90"/>
      <c r="F46" s="25"/>
    </row>
    <row r="47" spans="1:6" ht="18.75" hidden="1">
      <c r="A47" s="12" t="s">
        <v>4</v>
      </c>
      <c r="B47" s="17">
        <v>2240</v>
      </c>
      <c r="C47" s="51"/>
      <c r="D47" s="51"/>
      <c r="E47" s="54"/>
      <c r="F47" s="25"/>
    </row>
    <row r="48" spans="1:6" ht="18.75" hidden="1">
      <c r="A48" s="12" t="s">
        <v>10</v>
      </c>
      <c r="B48" s="17">
        <v>2275</v>
      </c>
      <c r="C48" s="51"/>
      <c r="D48" s="51"/>
      <c r="E48" s="54"/>
      <c r="F48" s="25"/>
    </row>
    <row r="49" spans="1:8" ht="18.75" hidden="1">
      <c r="A49" s="11" t="s">
        <v>15</v>
      </c>
      <c r="B49" s="17">
        <v>2800</v>
      </c>
      <c r="C49" s="51"/>
      <c r="D49" s="51"/>
      <c r="E49" s="54"/>
      <c r="F49" s="25"/>
    </row>
    <row r="50" spans="1:8" ht="37.5" hidden="1">
      <c r="A50" s="11" t="s">
        <v>12</v>
      </c>
      <c r="B50" s="17">
        <v>3110</v>
      </c>
      <c r="C50" s="51"/>
      <c r="D50" s="89"/>
      <c r="E50" s="90"/>
      <c r="F50" s="25"/>
    </row>
    <row r="51" spans="1:8" ht="18.75" hidden="1">
      <c r="A51" s="18" t="s">
        <v>16</v>
      </c>
      <c r="B51" s="19">
        <v>3132</v>
      </c>
      <c r="C51" s="20">
        <f t="shared" ref="C51" si="1">D51</f>
        <v>0</v>
      </c>
      <c r="D51" s="20"/>
      <c r="E51" s="55"/>
      <c r="F51" s="25"/>
    </row>
    <row r="52" spans="1:8" ht="18.75">
      <c r="A52" s="11" t="s">
        <v>13</v>
      </c>
      <c r="B52" s="17"/>
      <c r="C52" s="52">
        <f>C45+C46+C49+C50+C51</f>
        <v>7807.47</v>
      </c>
      <c r="D52" s="52">
        <f>D45+D46+D49+D50+D51</f>
        <v>7807.47</v>
      </c>
      <c r="E52" s="55"/>
      <c r="F52" s="25"/>
      <c r="H52" s="4"/>
    </row>
    <row r="53" spans="1:8" ht="18.75">
      <c r="A53" s="42"/>
      <c r="B53" s="43"/>
      <c r="C53" s="44"/>
      <c r="D53" s="64"/>
      <c r="F53" s="25"/>
    </row>
    <row r="54" spans="1:8" ht="18.75">
      <c r="A54" s="42"/>
      <c r="B54" s="43"/>
      <c r="C54" s="44"/>
      <c r="D54" s="64"/>
      <c r="F54" s="25"/>
    </row>
    <row r="55" spans="1:8" ht="46.5" customHeight="1">
      <c r="A55" s="71" t="s">
        <v>68</v>
      </c>
      <c r="B55" s="78"/>
      <c r="C55" s="78"/>
      <c r="D55" s="78"/>
    </row>
    <row r="56" spans="1:8" ht="15" customHeight="1">
      <c r="A56" s="71"/>
      <c r="B56" s="72"/>
      <c r="C56" s="72"/>
      <c r="D56" s="72"/>
    </row>
    <row r="58" spans="1:8" ht="16.5" customHeight="1">
      <c r="A58" s="73" t="s">
        <v>27</v>
      </c>
      <c r="B58" s="74"/>
      <c r="C58" s="75" t="s">
        <v>28</v>
      </c>
      <c r="D58" s="74"/>
    </row>
    <row r="59" spans="1:8" ht="16.5" hidden="1" customHeight="1">
      <c r="A59" s="39" t="s">
        <v>39</v>
      </c>
      <c r="B59" s="34">
        <v>2210</v>
      </c>
      <c r="C59" s="95"/>
      <c r="D59" s="95"/>
    </row>
    <row r="60" spans="1:8" ht="16.5" hidden="1" customHeight="1">
      <c r="A60" s="39" t="s">
        <v>33</v>
      </c>
      <c r="B60" s="34">
        <v>2210</v>
      </c>
      <c r="C60" s="93"/>
      <c r="D60" s="94"/>
    </row>
    <row r="61" spans="1:8" ht="16.5" hidden="1" customHeight="1">
      <c r="A61" s="39" t="s">
        <v>36</v>
      </c>
      <c r="B61" s="34">
        <v>2210</v>
      </c>
      <c r="C61" s="93"/>
      <c r="D61" s="94"/>
    </row>
    <row r="62" spans="1:8" ht="16.5" hidden="1" customHeight="1">
      <c r="A62" s="39" t="s">
        <v>41</v>
      </c>
      <c r="B62" s="46" t="s">
        <v>54</v>
      </c>
      <c r="C62" s="81"/>
      <c r="D62" s="82"/>
    </row>
    <row r="63" spans="1:8" ht="16.5" hidden="1" customHeight="1">
      <c r="A63" s="39" t="s">
        <v>32</v>
      </c>
      <c r="B63" s="47">
        <v>2210</v>
      </c>
      <c r="C63" s="93"/>
      <c r="D63" s="94"/>
    </row>
    <row r="64" spans="1:8" ht="16.5" hidden="1" customHeight="1">
      <c r="A64" s="39" t="s">
        <v>34</v>
      </c>
      <c r="B64" s="47">
        <v>2210</v>
      </c>
      <c r="C64" s="93"/>
      <c r="D64" s="94"/>
    </row>
    <row r="65" spans="1:4" ht="16.5" hidden="1" customHeight="1">
      <c r="A65" s="39" t="s">
        <v>40</v>
      </c>
      <c r="B65" s="47">
        <v>2210</v>
      </c>
      <c r="C65" s="93"/>
      <c r="D65" s="94"/>
    </row>
    <row r="66" spans="1:4" ht="16.5" hidden="1" customHeight="1">
      <c r="A66" s="39" t="s">
        <v>35</v>
      </c>
      <c r="B66" s="34">
        <v>3110</v>
      </c>
      <c r="C66" s="81"/>
      <c r="D66" s="82"/>
    </row>
    <row r="67" spans="1:4" ht="16.5" hidden="1" customHeight="1">
      <c r="A67" s="39" t="s">
        <v>37</v>
      </c>
      <c r="B67" s="34">
        <v>2210</v>
      </c>
      <c r="C67" s="96"/>
      <c r="D67" s="97"/>
    </row>
    <row r="68" spans="1:4" ht="16.5" hidden="1" customHeight="1">
      <c r="A68" s="39" t="s">
        <v>38</v>
      </c>
      <c r="B68" s="34">
        <v>2210</v>
      </c>
      <c r="C68" s="96"/>
      <c r="D68" s="97"/>
    </row>
    <row r="69" spans="1:4" ht="16.5" hidden="1" customHeight="1">
      <c r="A69" s="39" t="s">
        <v>50</v>
      </c>
      <c r="B69" s="34">
        <v>2240</v>
      </c>
      <c r="C69" s="96"/>
      <c r="D69" s="97"/>
    </row>
    <row r="70" spans="1:4" ht="16.5" customHeight="1">
      <c r="A70" s="39" t="s">
        <v>42</v>
      </c>
      <c r="B70" s="34">
        <v>2230</v>
      </c>
      <c r="C70" s="89">
        <f>7454.77+352.7</f>
        <v>7807.47</v>
      </c>
      <c r="D70" s="90"/>
    </row>
    <row r="71" spans="1:4" ht="18.75" hidden="1">
      <c r="A71" s="39" t="s">
        <v>43</v>
      </c>
      <c r="B71" s="34">
        <v>2210</v>
      </c>
      <c r="C71" s="98"/>
      <c r="D71" s="99"/>
    </row>
    <row r="72" spans="1:4" ht="18.75" hidden="1">
      <c r="A72" s="39" t="s">
        <v>49</v>
      </c>
      <c r="B72" s="34">
        <v>2210</v>
      </c>
      <c r="C72" s="89"/>
      <c r="D72" s="90"/>
    </row>
    <row r="73" spans="1:4" ht="18.75" hidden="1">
      <c r="A73" s="39" t="s">
        <v>47</v>
      </c>
      <c r="B73" s="34">
        <v>2210</v>
      </c>
      <c r="C73" s="89"/>
      <c r="D73" s="90"/>
    </row>
    <row r="74" spans="1:4" ht="18.75" hidden="1">
      <c r="A74" s="39" t="s">
        <v>46</v>
      </c>
      <c r="B74" s="34">
        <v>2210</v>
      </c>
      <c r="C74" s="89"/>
      <c r="D74" s="90"/>
    </row>
    <row r="75" spans="1:4" ht="18.75" hidden="1">
      <c r="A75" s="39" t="s">
        <v>48</v>
      </c>
      <c r="B75" s="40">
        <v>2210</v>
      </c>
      <c r="C75" s="89"/>
      <c r="D75" s="90"/>
    </row>
    <row r="76" spans="1:4" ht="18.75">
      <c r="A76" s="79"/>
      <c r="B76" s="80"/>
      <c r="C76" s="89"/>
      <c r="D76" s="90"/>
    </row>
    <row r="77" spans="1:4" ht="18.75">
      <c r="A77" s="79"/>
      <c r="B77" s="80"/>
      <c r="C77" s="91">
        <f>SUM(C59:D76)</f>
        <v>7807.47</v>
      </c>
      <c r="D77" s="92"/>
    </row>
    <row r="79" spans="1:4" ht="34.5" hidden="1" customHeight="1">
      <c r="A79" s="71" t="s">
        <v>60</v>
      </c>
      <c r="B79" s="72"/>
      <c r="C79" s="72"/>
      <c r="D79" s="72"/>
    </row>
  </sheetData>
  <mergeCells count="34">
    <mergeCell ref="A77:B77"/>
    <mergeCell ref="C77:D77"/>
    <mergeCell ref="C72:D72"/>
    <mergeCell ref="C73:D73"/>
    <mergeCell ref="C74:D74"/>
    <mergeCell ref="C75:D75"/>
    <mergeCell ref="A76:B76"/>
    <mergeCell ref="C76:D76"/>
    <mergeCell ref="D45:E45"/>
    <mergeCell ref="D46:E46"/>
    <mergeCell ref="D50:E50"/>
    <mergeCell ref="A55:D55"/>
    <mergeCell ref="C71:D71"/>
    <mergeCell ref="A3:D3"/>
    <mergeCell ref="A2:D2"/>
    <mergeCell ref="A5:D5"/>
    <mergeCell ref="A29:D29"/>
    <mergeCell ref="A42:D42"/>
    <mergeCell ref="A79:D79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I77"/>
  <sheetViews>
    <sheetView topLeftCell="A6" workbookViewId="0">
      <selection activeCell="F6" sqref="F1:F1048576"/>
    </sheetView>
  </sheetViews>
  <sheetFormatPr defaultRowHeight="15"/>
  <cols>
    <col min="1" max="1" width="41.875" style="3" customWidth="1"/>
    <col min="2" max="2" width="9.125" style="1" customWidth="1"/>
    <col min="3" max="3" width="17.875" style="55" customWidth="1"/>
    <col min="4" max="4" width="17" style="55" customWidth="1"/>
    <col min="5" max="5" width="11.375" hidden="1" customWidth="1"/>
    <col min="6" max="6" width="11.375" customWidth="1"/>
  </cols>
  <sheetData>
    <row r="2" spans="1:6" ht="60" customHeight="1">
      <c r="A2" s="76" t="s">
        <v>69</v>
      </c>
      <c r="B2" s="77"/>
      <c r="C2" s="77"/>
      <c r="D2" s="77"/>
    </row>
    <row r="3" spans="1:6" ht="62.25" customHeight="1">
      <c r="A3" s="86" t="s">
        <v>30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41.25" customHeight="1">
      <c r="A5" s="83" t="s">
        <v>24</v>
      </c>
      <c r="B5" s="84"/>
      <c r="C5" s="84"/>
      <c r="D5" s="84"/>
    </row>
    <row r="6" spans="1:6" s="2" customFormat="1" ht="56.25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f>2581901+284530</f>
        <v>2866431</v>
      </c>
      <c r="D7" s="61">
        <f>1835593.53+156570.46+8318.72</f>
        <v>2000482.71</v>
      </c>
      <c r="E7" s="25">
        <f>C7-D7</f>
        <v>865948.29</v>
      </c>
      <c r="F7" s="25"/>
    </row>
    <row r="8" spans="1:6" s="2" customFormat="1" ht="18.75">
      <c r="A8" s="21" t="s">
        <v>44</v>
      </c>
      <c r="B8" s="16">
        <v>2120</v>
      </c>
      <c r="C8" s="61">
        <f>568016+63570</f>
        <v>631586</v>
      </c>
      <c r="D8" s="61">
        <f>422258.09+40791.77+1830.12</f>
        <v>464879.98000000004</v>
      </c>
      <c r="E8" s="25">
        <f t="shared" ref="E8:E26" si="0">C8-D8</f>
        <v>166706.01999999996</v>
      </c>
      <c r="F8" s="25"/>
    </row>
    <row r="9" spans="1:6" ht="37.5">
      <c r="A9" s="11" t="s">
        <v>2</v>
      </c>
      <c r="B9" s="17">
        <v>2210</v>
      </c>
      <c r="C9" s="20">
        <f>32925+1300</f>
        <v>34225</v>
      </c>
      <c r="D9" s="20">
        <v>24309</v>
      </c>
      <c r="E9" s="25">
        <f t="shared" si="0"/>
        <v>9916</v>
      </c>
      <c r="F9" s="25"/>
    </row>
    <row r="10" spans="1:6" ht="18.75">
      <c r="A10" s="39" t="s">
        <v>70</v>
      </c>
      <c r="B10" s="17">
        <v>2220</v>
      </c>
      <c r="C10" s="20">
        <v>4850</v>
      </c>
      <c r="D10" s="20">
        <v>4844.2</v>
      </c>
      <c r="E10" s="25"/>
      <c r="F10" s="25"/>
    </row>
    <row r="11" spans="1:6" ht="18.75">
      <c r="A11" s="11" t="s">
        <v>3</v>
      </c>
      <c r="B11" s="17">
        <v>2230</v>
      </c>
      <c r="C11" s="20">
        <f>78730+49940</f>
        <v>128670</v>
      </c>
      <c r="D11" s="20">
        <f>32197.3+12771.05</f>
        <v>44968.35</v>
      </c>
      <c r="E11" s="25">
        <f t="shared" si="0"/>
        <v>83701.649999999994</v>
      </c>
      <c r="F11" s="25"/>
    </row>
    <row r="12" spans="1:6" ht="18.75">
      <c r="A12" s="11" t="s">
        <v>4</v>
      </c>
      <c r="B12" s="17">
        <v>2240</v>
      </c>
      <c r="C12" s="20">
        <v>114260</v>
      </c>
      <c r="D12" s="20">
        <v>86222.23</v>
      </c>
      <c r="E12" s="25">
        <f t="shared" si="0"/>
        <v>28037.770000000004</v>
      </c>
      <c r="F12" s="25"/>
    </row>
    <row r="13" spans="1:6" ht="18.75" hidden="1">
      <c r="A13" s="11" t="s">
        <v>5</v>
      </c>
      <c r="B13" s="17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7">
        <v>2271</v>
      </c>
      <c r="C14" s="20"/>
      <c r="D14" s="20"/>
      <c r="E14" s="25">
        <f t="shared" si="0"/>
        <v>0</v>
      </c>
      <c r="F14" s="25"/>
    </row>
    <row r="15" spans="1:6" ht="37.5">
      <c r="A15" s="11" t="s">
        <v>7</v>
      </c>
      <c r="B15" s="17">
        <v>2272</v>
      </c>
      <c r="C15" s="20">
        <v>7960</v>
      </c>
      <c r="D15" s="20">
        <f>1966.9</f>
        <v>1966.9</v>
      </c>
      <c r="E15" s="25">
        <f t="shared" si="0"/>
        <v>5993.1</v>
      </c>
      <c r="F15" s="25"/>
    </row>
    <row r="16" spans="1:6" ht="18.75">
      <c r="A16" s="11" t="s">
        <v>8</v>
      </c>
      <c r="B16" s="17">
        <v>2273</v>
      </c>
      <c r="C16" s="20">
        <v>48890</v>
      </c>
      <c r="D16" s="20">
        <f>24387.74+135</f>
        <v>24522.74</v>
      </c>
      <c r="E16" s="25">
        <f t="shared" si="0"/>
        <v>24367.26</v>
      </c>
      <c r="F16" s="25"/>
    </row>
    <row r="17" spans="1:9" ht="18.75">
      <c r="A17" s="11" t="s">
        <v>9</v>
      </c>
      <c r="B17" s="17">
        <v>2274</v>
      </c>
      <c r="C17" s="20">
        <v>340830</v>
      </c>
      <c r="D17" s="20">
        <v>98784.27</v>
      </c>
      <c r="E17" s="25">
        <f t="shared" si="0"/>
        <v>242045.72999999998</v>
      </c>
      <c r="F17" s="25"/>
    </row>
    <row r="18" spans="1:9" ht="18.75">
      <c r="A18" s="11" t="s">
        <v>10</v>
      </c>
      <c r="B18" s="17">
        <v>2275</v>
      </c>
      <c r="C18" s="20">
        <v>52200</v>
      </c>
      <c r="D18" s="20"/>
      <c r="E18" s="25">
        <f t="shared" si="0"/>
        <v>52200</v>
      </c>
      <c r="F18" s="25"/>
    </row>
    <row r="19" spans="1:9" ht="33" customHeight="1">
      <c r="A19" s="11" t="s">
        <v>11</v>
      </c>
      <c r="B19" s="17">
        <v>2282</v>
      </c>
      <c r="C19" s="20">
        <v>2000</v>
      </c>
      <c r="D19" s="20">
        <v>990</v>
      </c>
      <c r="E19" s="25">
        <f t="shared" si="0"/>
        <v>1010</v>
      </c>
      <c r="F19" s="25"/>
    </row>
    <row r="20" spans="1:9" ht="18" hidden="1" customHeight="1">
      <c r="A20" s="11" t="s">
        <v>14</v>
      </c>
      <c r="B20" s="17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7">
        <v>2800</v>
      </c>
      <c r="C21" s="20">
        <v>930</v>
      </c>
      <c r="D21" s="20">
        <v>494.95</v>
      </c>
      <c r="E21" s="25">
        <f t="shared" si="0"/>
        <v>435.05</v>
      </c>
      <c r="F21" s="25"/>
    </row>
    <row r="22" spans="1:9" ht="36.75" customHeight="1">
      <c r="A22" s="11" t="s">
        <v>12</v>
      </c>
      <c r="B22" s="17">
        <v>3110</v>
      </c>
      <c r="C22" s="20">
        <v>64200</v>
      </c>
      <c r="D22" s="20">
        <f>54000+10200</f>
        <v>64200</v>
      </c>
      <c r="E22" s="25">
        <f t="shared" si="0"/>
        <v>0</v>
      </c>
      <c r="F22" s="25"/>
      <c r="H22" s="37"/>
    </row>
    <row r="23" spans="1:9" ht="37.5" hidden="1">
      <c r="A23" s="11" t="s">
        <v>20</v>
      </c>
      <c r="B23" s="17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7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7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7"/>
      <c r="C26" s="52">
        <f>SUM(C7:C25)</f>
        <v>4297032</v>
      </c>
      <c r="D26" s="62">
        <f>SUM(D7:D25)</f>
        <v>2816665.3300000005</v>
      </c>
      <c r="E26" s="25">
        <f t="shared" si="0"/>
        <v>1480366.6699999995</v>
      </c>
      <c r="F26" s="25"/>
    </row>
    <row r="27" spans="1:9">
      <c r="C27" s="58"/>
      <c r="D27" s="58">
        <v>2816665.33</v>
      </c>
      <c r="F27" s="4"/>
    </row>
    <row r="28" spans="1:9" ht="30.75" customHeight="1">
      <c r="A28" s="76" t="s">
        <v>25</v>
      </c>
      <c r="B28" s="85"/>
      <c r="C28" s="85"/>
      <c r="D28" s="85"/>
    </row>
    <row r="29" spans="1:9">
      <c r="D29" s="63"/>
    </row>
    <row r="30" spans="1:9" ht="56.25">
      <c r="A30" s="15" t="s">
        <v>0</v>
      </c>
      <c r="B30" s="15" t="s">
        <v>1</v>
      </c>
      <c r="C30" s="60" t="s">
        <v>23</v>
      </c>
      <c r="D30" s="60" t="s">
        <v>18</v>
      </c>
    </row>
    <row r="31" spans="1:9" ht="37.5">
      <c r="A31" s="11" t="s">
        <v>2</v>
      </c>
      <c r="B31" s="17">
        <v>2210</v>
      </c>
      <c r="C31" s="51">
        <f>7.12</f>
        <v>7.12</v>
      </c>
      <c r="D31" s="51">
        <v>7.12</v>
      </c>
      <c r="F31" s="25"/>
    </row>
    <row r="32" spans="1:9" ht="18.75">
      <c r="A32" s="12" t="s">
        <v>3</v>
      </c>
      <c r="B32" s="17">
        <v>2230</v>
      </c>
      <c r="C32" s="53">
        <f>7070+19440</f>
        <v>26510</v>
      </c>
      <c r="D32" s="51">
        <f>7068+6348.44</f>
        <v>13416.439999999999</v>
      </c>
      <c r="F32" s="25"/>
    </row>
    <row r="33" spans="1:6" ht="18.75" hidden="1">
      <c r="A33" s="12" t="s">
        <v>4</v>
      </c>
      <c r="B33" s="17">
        <v>2240</v>
      </c>
      <c r="C33" s="51"/>
      <c r="D33" s="51"/>
      <c r="F33" s="25"/>
    </row>
    <row r="34" spans="1:6" ht="18.75" hidden="1">
      <c r="A34" s="39" t="s">
        <v>10</v>
      </c>
      <c r="B34" s="17">
        <v>2275</v>
      </c>
      <c r="C34" s="51"/>
      <c r="D34" s="51"/>
      <c r="F34" s="25"/>
    </row>
    <row r="35" spans="1:6" ht="18.75" hidden="1">
      <c r="A35" s="11" t="s">
        <v>15</v>
      </c>
      <c r="B35" s="17">
        <v>2800</v>
      </c>
      <c r="C35" s="20"/>
      <c r="D35" s="51"/>
      <c r="F35" s="25"/>
    </row>
    <row r="36" spans="1:6" ht="37.5" hidden="1">
      <c r="A36" s="11" t="s">
        <v>12</v>
      </c>
      <c r="B36" s="17">
        <v>3110</v>
      </c>
      <c r="C36" s="20"/>
      <c r="D36" s="51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2">
        <f>SUM(C31:C37)</f>
        <v>26517.119999999999</v>
      </c>
      <c r="D38" s="52">
        <f>SUM(D31:D37)</f>
        <v>13423.56</v>
      </c>
      <c r="F38" s="25"/>
    </row>
    <row r="39" spans="1:6">
      <c r="A39" s="1"/>
      <c r="B39" s="5"/>
      <c r="C39" s="58"/>
      <c r="D39" s="58"/>
    </row>
    <row r="40" spans="1:6">
      <c r="A40" s="1"/>
      <c r="B40" s="5"/>
      <c r="C40" s="58"/>
      <c r="D40" s="58"/>
    </row>
    <row r="41" spans="1:6" ht="32.25" customHeight="1">
      <c r="A41" s="71" t="s">
        <v>26</v>
      </c>
      <c r="B41" s="72"/>
      <c r="C41" s="72"/>
      <c r="D41" s="72"/>
    </row>
    <row r="42" spans="1:6">
      <c r="A42" s="1"/>
      <c r="B42" s="5"/>
      <c r="C42" s="58"/>
      <c r="D42" s="58"/>
    </row>
    <row r="43" spans="1:6" ht="56.25">
      <c r="A43" s="15" t="s">
        <v>0</v>
      </c>
      <c r="B43" s="15" t="s">
        <v>1</v>
      </c>
      <c r="C43" s="60" t="s">
        <v>23</v>
      </c>
      <c r="D43" s="60" t="s">
        <v>18</v>
      </c>
    </row>
    <row r="44" spans="1:6" ht="37.5">
      <c r="A44" s="11" t="s">
        <v>2</v>
      </c>
      <c r="B44" s="17">
        <v>2210</v>
      </c>
      <c r="C44" s="51">
        <v>459.8</v>
      </c>
      <c r="D44" s="51">
        <v>459.8</v>
      </c>
      <c r="F44" s="25"/>
    </row>
    <row r="45" spans="1:6" ht="18.75">
      <c r="A45" s="12" t="s">
        <v>3</v>
      </c>
      <c r="B45" s="17">
        <v>2230</v>
      </c>
      <c r="C45" s="51">
        <f>7119.78+3271.1</f>
        <v>10390.879999999999</v>
      </c>
      <c r="D45" s="51">
        <f>7119.78+3271.1</f>
        <v>10390.879999999999</v>
      </c>
      <c r="F45" s="25"/>
    </row>
    <row r="46" spans="1:6" ht="18.75" hidden="1">
      <c r="A46" s="12" t="s">
        <v>4</v>
      </c>
      <c r="B46" s="17">
        <v>2240</v>
      </c>
      <c r="C46" s="51"/>
      <c r="D46" s="51"/>
      <c r="F46" s="25"/>
    </row>
    <row r="47" spans="1:6" ht="18.75" hidden="1">
      <c r="A47" s="12" t="s">
        <v>10</v>
      </c>
      <c r="B47" s="17">
        <v>2275</v>
      </c>
      <c r="C47" s="51"/>
      <c r="D47" s="51"/>
      <c r="F47" s="25"/>
    </row>
    <row r="48" spans="1:6" ht="18.75" hidden="1">
      <c r="A48" s="11" t="s">
        <v>15</v>
      </c>
      <c r="B48" s="17">
        <v>2800</v>
      </c>
      <c r="C48" s="51"/>
      <c r="D48" s="51"/>
      <c r="F48" s="25"/>
    </row>
    <row r="49" spans="1:6" ht="37.5" hidden="1">
      <c r="A49" s="11" t="s">
        <v>12</v>
      </c>
      <c r="B49" s="17">
        <v>3110</v>
      </c>
      <c r="C49" s="51"/>
      <c r="D49" s="51"/>
      <c r="F49" s="25"/>
    </row>
    <row r="50" spans="1:6" ht="18.75" hidden="1">
      <c r="A50" s="18" t="s">
        <v>16</v>
      </c>
      <c r="B50" s="19">
        <v>3132</v>
      </c>
      <c r="C50" s="20"/>
      <c r="D50" s="20"/>
      <c r="F50" s="25"/>
    </row>
    <row r="51" spans="1:6" ht="18.75">
      <c r="A51" s="11" t="s">
        <v>13</v>
      </c>
      <c r="B51" s="17"/>
      <c r="C51" s="52">
        <f>C44+C45+C48+C49+C50</f>
        <v>10850.679999999998</v>
      </c>
      <c r="D51" s="52">
        <f>D44+D45+D48+D49+D50</f>
        <v>10850.679999999998</v>
      </c>
      <c r="F51" s="25"/>
    </row>
    <row r="52" spans="1:6" ht="18.75">
      <c r="A52" s="42"/>
      <c r="B52" s="43"/>
      <c r="C52" s="64"/>
      <c r="D52" s="64"/>
      <c r="F52" s="25"/>
    </row>
    <row r="53" spans="1:6" ht="18.75">
      <c r="A53" s="42"/>
      <c r="B53" s="43"/>
      <c r="C53" s="64"/>
      <c r="D53" s="64"/>
      <c r="F53" s="25"/>
    </row>
    <row r="55" spans="1:6" ht="51" customHeight="1">
      <c r="A55" s="71" t="s">
        <v>68</v>
      </c>
      <c r="B55" s="78"/>
      <c r="C55" s="78"/>
      <c r="D55" s="78"/>
    </row>
    <row r="56" spans="1:6" ht="17.25" customHeight="1">
      <c r="A56" s="71"/>
      <c r="B56" s="72"/>
      <c r="C56" s="72"/>
      <c r="D56" s="72"/>
    </row>
    <row r="58" spans="1:6" ht="18.75">
      <c r="A58" s="73" t="s">
        <v>27</v>
      </c>
      <c r="B58" s="74"/>
      <c r="C58" s="102" t="s">
        <v>28</v>
      </c>
      <c r="D58" s="103"/>
    </row>
    <row r="59" spans="1:6" ht="18.75">
      <c r="A59" s="39" t="s">
        <v>39</v>
      </c>
      <c r="B59" s="34">
        <v>2210</v>
      </c>
      <c r="C59" s="104">
        <v>459.8</v>
      </c>
      <c r="D59" s="104"/>
    </row>
    <row r="60" spans="1:6" ht="18.75" hidden="1">
      <c r="A60" s="39" t="s">
        <v>33</v>
      </c>
      <c r="B60" s="34">
        <v>2210</v>
      </c>
      <c r="C60" s="100"/>
      <c r="D60" s="101"/>
    </row>
    <row r="61" spans="1:6" ht="18.75" hidden="1">
      <c r="A61" s="39" t="s">
        <v>36</v>
      </c>
      <c r="B61" s="34">
        <v>2210</v>
      </c>
      <c r="C61" s="89"/>
      <c r="D61" s="90"/>
    </row>
    <row r="62" spans="1:6" ht="18.75" hidden="1">
      <c r="A62" s="39" t="s">
        <v>41</v>
      </c>
      <c r="B62" s="35">
        <v>3110.221</v>
      </c>
      <c r="C62" s="98"/>
      <c r="D62" s="99"/>
    </row>
    <row r="63" spans="1:6" ht="18.75" hidden="1">
      <c r="A63" s="39" t="s">
        <v>32</v>
      </c>
      <c r="B63" s="34">
        <v>2210</v>
      </c>
      <c r="C63" s="98"/>
      <c r="D63" s="99"/>
    </row>
    <row r="64" spans="1:6" ht="18.75" hidden="1">
      <c r="A64" s="39" t="s">
        <v>34</v>
      </c>
      <c r="B64" s="34">
        <v>2210</v>
      </c>
      <c r="C64" s="98"/>
      <c r="D64" s="99"/>
    </row>
    <row r="65" spans="1:4" ht="18.75" hidden="1">
      <c r="A65" s="39" t="s">
        <v>40</v>
      </c>
      <c r="B65" s="34">
        <v>2210</v>
      </c>
      <c r="C65" s="98"/>
      <c r="D65" s="99"/>
    </row>
    <row r="66" spans="1:4" ht="18.75" hidden="1">
      <c r="A66" s="39" t="s">
        <v>35</v>
      </c>
      <c r="B66" s="34">
        <v>3110</v>
      </c>
      <c r="C66" s="89"/>
      <c r="D66" s="90"/>
    </row>
    <row r="67" spans="1:4" ht="18.75" hidden="1">
      <c r="A67" s="39" t="s">
        <v>37</v>
      </c>
      <c r="B67" s="34">
        <v>2210</v>
      </c>
      <c r="C67" s="98"/>
      <c r="D67" s="99"/>
    </row>
    <row r="68" spans="1:4" ht="18.75" hidden="1">
      <c r="A68" s="39" t="s">
        <v>38</v>
      </c>
      <c r="B68" s="34">
        <v>2210</v>
      </c>
      <c r="C68" s="98"/>
      <c r="D68" s="99"/>
    </row>
    <row r="69" spans="1:4" ht="18.75" hidden="1">
      <c r="A69" s="39" t="s">
        <v>50</v>
      </c>
      <c r="B69" s="34">
        <v>2240</v>
      </c>
      <c r="C69" s="98"/>
      <c r="D69" s="99"/>
    </row>
    <row r="70" spans="1:4" ht="18.75">
      <c r="A70" s="39" t="s">
        <v>42</v>
      </c>
      <c r="B70" s="34">
        <v>2230</v>
      </c>
      <c r="C70" s="89">
        <f>10175.98+214.9</f>
        <v>10390.879999999999</v>
      </c>
      <c r="D70" s="90"/>
    </row>
    <row r="71" spans="1:4" ht="18.75" hidden="1">
      <c r="A71" s="39" t="s">
        <v>43</v>
      </c>
      <c r="B71" s="34">
        <v>2210</v>
      </c>
      <c r="C71" s="98"/>
      <c r="D71" s="99"/>
    </row>
    <row r="72" spans="1:4" ht="18.75" hidden="1">
      <c r="A72" s="39" t="s">
        <v>49</v>
      </c>
      <c r="B72" s="34">
        <v>2210</v>
      </c>
      <c r="C72" s="89"/>
      <c r="D72" s="90"/>
    </row>
    <row r="73" spans="1:4" ht="18.75" hidden="1">
      <c r="A73" s="39" t="s">
        <v>47</v>
      </c>
      <c r="B73" s="34">
        <v>2210</v>
      </c>
      <c r="C73" s="89"/>
      <c r="D73" s="90"/>
    </row>
    <row r="74" spans="1:4" ht="18.75" hidden="1">
      <c r="A74" s="39" t="s">
        <v>46</v>
      </c>
      <c r="B74" s="34">
        <v>2210</v>
      </c>
      <c r="C74" s="89"/>
      <c r="D74" s="90"/>
    </row>
    <row r="75" spans="1:4" ht="18.75" hidden="1">
      <c r="A75" s="39" t="s">
        <v>48</v>
      </c>
      <c r="B75" s="40">
        <v>2210</v>
      </c>
      <c r="C75" s="89"/>
      <c r="D75" s="90"/>
    </row>
    <row r="76" spans="1:4" ht="18.75">
      <c r="A76" s="79"/>
      <c r="B76" s="80"/>
      <c r="C76" s="89"/>
      <c r="D76" s="90"/>
    </row>
    <row r="77" spans="1:4" ht="18.75">
      <c r="A77" s="79"/>
      <c r="B77" s="80"/>
      <c r="C77" s="91">
        <f>SUM(C59:D76)</f>
        <v>10850.679999999998</v>
      </c>
      <c r="D77" s="92"/>
    </row>
  </sheetData>
  <mergeCells count="30">
    <mergeCell ref="C70:D70"/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A55:D55"/>
    <mergeCell ref="A56:D56"/>
    <mergeCell ref="C63:D63"/>
    <mergeCell ref="C64:D64"/>
    <mergeCell ref="C60:D60"/>
    <mergeCell ref="C61:D61"/>
    <mergeCell ref="C62:D62"/>
    <mergeCell ref="A58:B58"/>
    <mergeCell ref="C58:D58"/>
    <mergeCell ref="C59:D5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76"/>
  <sheetViews>
    <sheetView topLeftCell="A4" workbookViewId="0">
      <selection activeCell="F4" sqref="F1:F1048576"/>
    </sheetView>
  </sheetViews>
  <sheetFormatPr defaultRowHeight="15"/>
  <cols>
    <col min="1" max="1" width="40.875" style="3" customWidth="1"/>
    <col min="2" max="2" width="8.875" style="1" customWidth="1"/>
    <col min="3" max="3" width="17.875" style="55" customWidth="1"/>
    <col min="4" max="4" width="17.375" style="55" customWidth="1"/>
    <col min="5" max="5" width="10.375" hidden="1" customWidth="1"/>
    <col min="6" max="6" width="11" bestFit="1" customWidth="1"/>
  </cols>
  <sheetData>
    <row r="2" spans="1:6" ht="55.5" customHeight="1">
      <c r="A2" s="76" t="s">
        <v>69</v>
      </c>
      <c r="B2" s="77"/>
      <c r="C2" s="77"/>
      <c r="D2" s="77"/>
    </row>
    <row r="3" spans="1:6" ht="82.5" customHeight="1">
      <c r="A3" s="86" t="s">
        <v>55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41.25" customHeight="1">
      <c r="A5" s="83" t="s">
        <v>24</v>
      </c>
      <c r="B5" s="84"/>
      <c r="C5" s="84"/>
      <c r="D5" s="84"/>
    </row>
    <row r="6" spans="1:6" s="2" customFormat="1" ht="70.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f>3265950+72620</f>
        <v>3338570</v>
      </c>
      <c r="D7" s="61">
        <v>2358446.5499999998</v>
      </c>
      <c r="E7" s="25">
        <f>C7-D7</f>
        <v>980123.45000000019</v>
      </c>
      <c r="F7" s="25"/>
    </row>
    <row r="8" spans="1:6" s="2" customFormat="1" ht="18.75">
      <c r="A8" s="21" t="s">
        <v>44</v>
      </c>
      <c r="B8" s="16">
        <v>2120</v>
      </c>
      <c r="C8" s="61">
        <f>718510+15980</f>
        <v>734490</v>
      </c>
      <c r="D8" s="61">
        <v>516954</v>
      </c>
      <c r="E8" s="25">
        <f t="shared" ref="E8:E26" si="0">C8-D8</f>
        <v>217536</v>
      </c>
      <c r="F8" s="25"/>
    </row>
    <row r="9" spans="1:6" ht="37.5">
      <c r="A9" s="11" t="s">
        <v>2</v>
      </c>
      <c r="B9" s="16">
        <v>2210</v>
      </c>
      <c r="C9" s="20">
        <v>33185</v>
      </c>
      <c r="D9" s="20">
        <v>20124</v>
      </c>
      <c r="E9" s="25">
        <f t="shared" si="0"/>
        <v>13061</v>
      </c>
      <c r="F9" s="25"/>
    </row>
    <row r="10" spans="1:6" ht="18.75">
      <c r="A10" s="39" t="s">
        <v>70</v>
      </c>
      <c r="B10" s="16">
        <v>2220</v>
      </c>
      <c r="C10" s="20">
        <v>2420</v>
      </c>
      <c r="D10" s="20">
        <v>2400</v>
      </c>
      <c r="E10" s="25"/>
      <c r="F10" s="25"/>
    </row>
    <row r="11" spans="1:6" ht="18.75">
      <c r="A11" s="11" t="s">
        <v>3</v>
      </c>
      <c r="B11" s="16">
        <v>2230</v>
      </c>
      <c r="C11" s="20">
        <v>146980</v>
      </c>
      <c r="D11" s="20">
        <v>58916.1</v>
      </c>
      <c r="E11" s="25">
        <f t="shared" si="0"/>
        <v>88063.9</v>
      </c>
      <c r="F11" s="25"/>
    </row>
    <row r="12" spans="1:6" ht="18.75">
      <c r="A12" s="11" t="s">
        <v>4</v>
      </c>
      <c r="B12" s="16">
        <v>2240</v>
      </c>
      <c r="C12" s="20">
        <v>56540</v>
      </c>
      <c r="D12" s="20">
        <v>28569</v>
      </c>
      <c r="E12" s="25">
        <f t="shared" si="0"/>
        <v>27971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>
      <c r="A15" s="11" t="s">
        <v>7</v>
      </c>
      <c r="B15" s="16">
        <v>2272</v>
      </c>
      <c r="C15" s="20">
        <v>4880</v>
      </c>
      <c r="D15" s="20">
        <v>3324</v>
      </c>
      <c r="E15" s="25">
        <f t="shared" si="0"/>
        <v>1556</v>
      </c>
      <c r="F15" s="25"/>
    </row>
    <row r="16" spans="1:6" ht="18.75">
      <c r="A16" s="11" t="s">
        <v>8</v>
      </c>
      <c r="B16" s="16">
        <v>2273</v>
      </c>
      <c r="C16" s="20">
        <v>75970</v>
      </c>
      <c r="D16" s="20">
        <v>31548.98</v>
      </c>
      <c r="E16" s="25">
        <f t="shared" si="0"/>
        <v>44421.020000000004</v>
      </c>
      <c r="F16" s="25"/>
    </row>
    <row r="17" spans="1:9" ht="18.75">
      <c r="A17" s="11" t="s">
        <v>9</v>
      </c>
      <c r="B17" s="16">
        <v>2274</v>
      </c>
      <c r="C17" s="20">
        <v>385080</v>
      </c>
      <c r="D17" s="20">
        <v>100104.79</v>
      </c>
      <c r="E17" s="25">
        <f t="shared" si="0"/>
        <v>284975.21000000002</v>
      </c>
      <c r="F17" s="25"/>
    </row>
    <row r="18" spans="1:9" ht="18.75" hidden="1">
      <c r="A18" s="11" t="s">
        <v>10</v>
      </c>
      <c r="B18" s="16">
        <v>2275</v>
      </c>
      <c r="C18" s="20"/>
      <c r="D18" s="20"/>
      <c r="E18" s="25">
        <f t="shared" si="0"/>
        <v>0</v>
      </c>
      <c r="F18" s="25"/>
    </row>
    <row r="19" spans="1:9" ht="28.5" customHeight="1">
      <c r="A19" s="11" t="s">
        <v>11</v>
      </c>
      <c r="B19" s="16">
        <v>2282</v>
      </c>
      <c r="C19" s="20">
        <v>2000</v>
      </c>
      <c r="D19" s="20">
        <v>990</v>
      </c>
      <c r="E19" s="25">
        <f t="shared" si="0"/>
        <v>1010</v>
      </c>
      <c r="F19" s="25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760</v>
      </c>
      <c r="D21" s="20">
        <v>548</v>
      </c>
      <c r="E21" s="25">
        <f t="shared" si="0"/>
        <v>212</v>
      </c>
      <c r="F21" s="25"/>
    </row>
    <row r="22" spans="1:9" ht="31.5" customHeight="1">
      <c r="A22" s="11" t="s">
        <v>12</v>
      </c>
      <c r="B22" s="16">
        <v>3110</v>
      </c>
      <c r="C22" s="20">
        <v>20664</v>
      </c>
      <c r="D22" s="20">
        <v>20663.75</v>
      </c>
      <c r="E22" s="25">
        <f t="shared" si="0"/>
        <v>0.25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6"/>
      <c r="C26" s="52">
        <f>SUM(C7:C25)</f>
        <v>4801539</v>
      </c>
      <c r="D26" s="52">
        <f>SUM(D7:D25)</f>
        <v>3142589.17</v>
      </c>
      <c r="E26" s="25">
        <f t="shared" si="0"/>
        <v>1658949.83</v>
      </c>
      <c r="F26" s="25"/>
    </row>
    <row r="27" spans="1:9">
      <c r="C27" s="58"/>
      <c r="D27" s="58"/>
    </row>
    <row r="28" spans="1:9" ht="30.75" customHeight="1">
      <c r="A28" s="76" t="s">
        <v>25</v>
      </c>
      <c r="B28" s="85"/>
      <c r="C28" s="85"/>
      <c r="D28" s="85"/>
    </row>
    <row r="29" spans="1:9">
      <c r="D29" s="63"/>
    </row>
    <row r="30" spans="1:9" ht="56.25">
      <c r="A30" s="15" t="s">
        <v>0</v>
      </c>
      <c r="B30" s="15" t="s">
        <v>1</v>
      </c>
      <c r="C30" s="60" t="s">
        <v>23</v>
      </c>
      <c r="D30" s="60" t="s">
        <v>18</v>
      </c>
    </row>
    <row r="31" spans="1:9" ht="37.5">
      <c r="A31" s="11" t="s">
        <v>2</v>
      </c>
      <c r="B31" s="17">
        <v>2210</v>
      </c>
      <c r="C31" s="20">
        <f>20.8+337.15</f>
        <v>357.95</v>
      </c>
      <c r="D31" s="20">
        <v>20.8</v>
      </c>
      <c r="F31" s="25"/>
    </row>
    <row r="32" spans="1:9" ht="18.75" hidden="1">
      <c r="A32" s="12" t="s">
        <v>3</v>
      </c>
      <c r="B32" s="17">
        <v>2230</v>
      </c>
      <c r="C32" s="20"/>
      <c r="D32" s="20"/>
      <c r="F32" s="25"/>
    </row>
    <row r="33" spans="1:6" ht="18.75" hidden="1">
      <c r="A33" s="12" t="s">
        <v>4</v>
      </c>
      <c r="B33" s="17">
        <v>2240</v>
      </c>
      <c r="C33" s="20"/>
      <c r="D33" s="20"/>
      <c r="F33" s="25"/>
    </row>
    <row r="34" spans="1:6" ht="18.75" hidden="1">
      <c r="A34" s="33" t="s">
        <v>10</v>
      </c>
      <c r="B34" s="16">
        <v>2275</v>
      </c>
      <c r="C34" s="20"/>
      <c r="D34" s="20"/>
      <c r="F34" s="25"/>
    </row>
    <row r="35" spans="1:6" ht="18.75" hidden="1">
      <c r="A35" s="11" t="s">
        <v>15</v>
      </c>
      <c r="B35" s="17">
        <v>2800</v>
      </c>
      <c r="C35" s="20"/>
      <c r="D35" s="20"/>
      <c r="F35" s="25"/>
    </row>
    <row r="36" spans="1:6" ht="37.5" hidden="1">
      <c r="A36" s="11" t="s">
        <v>12</v>
      </c>
      <c r="B36" s="17">
        <v>3110</v>
      </c>
      <c r="C36" s="20"/>
      <c r="D36" s="20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2">
        <f>SUM(C31:C37)</f>
        <v>357.95</v>
      </c>
      <c r="D38" s="52">
        <f>SUM(D31:D37)</f>
        <v>20.8</v>
      </c>
      <c r="F38" s="25"/>
    </row>
    <row r="39" spans="1:6">
      <c r="A39" s="1"/>
      <c r="B39" s="5"/>
      <c r="C39" s="58"/>
      <c r="D39" s="58"/>
    </row>
    <row r="40" spans="1:6">
      <c r="A40" s="1"/>
      <c r="B40" s="5"/>
      <c r="C40" s="58"/>
      <c r="D40" s="58"/>
    </row>
    <row r="41" spans="1:6" ht="33.75" customHeight="1">
      <c r="A41" s="71" t="s">
        <v>26</v>
      </c>
      <c r="B41" s="72"/>
      <c r="C41" s="72"/>
      <c r="D41" s="72"/>
    </row>
    <row r="42" spans="1:6">
      <c r="A42" s="1"/>
      <c r="B42" s="5"/>
      <c r="C42" s="58"/>
      <c r="D42" s="58"/>
    </row>
    <row r="43" spans="1:6" ht="56.25">
      <c r="A43" s="15" t="s">
        <v>0</v>
      </c>
      <c r="B43" s="15" t="s">
        <v>1</v>
      </c>
      <c r="C43" s="60" t="s">
        <v>23</v>
      </c>
      <c r="D43" s="60" t="s">
        <v>18</v>
      </c>
    </row>
    <row r="44" spans="1:6" ht="37.5">
      <c r="A44" s="11" t="s">
        <v>2</v>
      </c>
      <c r="B44" s="17">
        <v>2210</v>
      </c>
      <c r="C44" s="51">
        <v>10155</v>
      </c>
      <c r="D44" s="51">
        <f>2200+7955</f>
        <v>10155</v>
      </c>
      <c r="F44" s="25"/>
    </row>
    <row r="45" spans="1:6" ht="18.75">
      <c r="A45" s="12" t="s">
        <v>3</v>
      </c>
      <c r="B45" s="17">
        <v>2230</v>
      </c>
      <c r="C45" s="51">
        <v>5486.22</v>
      </c>
      <c r="D45" s="51">
        <v>5486.22</v>
      </c>
      <c r="F45" s="25"/>
    </row>
    <row r="46" spans="1:6" ht="18.75" hidden="1">
      <c r="A46" s="12" t="s">
        <v>4</v>
      </c>
      <c r="B46" s="17">
        <v>2240</v>
      </c>
      <c r="C46" s="51"/>
      <c r="D46" s="51"/>
      <c r="F46" s="25"/>
    </row>
    <row r="47" spans="1:6" ht="18.75" hidden="1">
      <c r="A47" s="39" t="s">
        <v>10</v>
      </c>
      <c r="B47" s="17">
        <v>2275</v>
      </c>
      <c r="C47" s="51"/>
      <c r="D47" s="51"/>
      <c r="F47" s="25"/>
    </row>
    <row r="48" spans="1:6" ht="18.75" hidden="1">
      <c r="A48" s="11" t="s">
        <v>15</v>
      </c>
      <c r="B48" s="17">
        <v>2800</v>
      </c>
      <c r="C48" s="51"/>
      <c r="D48" s="51"/>
      <c r="F48" s="25"/>
    </row>
    <row r="49" spans="1:7" ht="37.5" hidden="1">
      <c r="A49" s="11" t="s">
        <v>12</v>
      </c>
      <c r="B49" s="17">
        <v>3110</v>
      </c>
      <c r="C49" s="51"/>
      <c r="D49" s="51"/>
      <c r="F49" s="25"/>
    </row>
    <row r="50" spans="1:7" ht="18.75" hidden="1">
      <c r="A50" s="18" t="s">
        <v>16</v>
      </c>
      <c r="B50" s="19">
        <v>3132</v>
      </c>
      <c r="C50" s="20"/>
      <c r="D50" s="20"/>
      <c r="F50" s="25"/>
    </row>
    <row r="51" spans="1:7" ht="18.75">
      <c r="A51" s="11" t="s">
        <v>13</v>
      </c>
      <c r="B51" s="17"/>
      <c r="C51" s="52">
        <f>C44+C45+C48+C49+C50</f>
        <v>15641.220000000001</v>
      </c>
      <c r="D51" s="52">
        <f>D44+D45+D48+D49+D50</f>
        <v>15641.220000000001</v>
      </c>
      <c r="F51" s="25"/>
    </row>
    <row r="55" spans="1:7" ht="33.75" customHeight="1">
      <c r="A55" s="71" t="s">
        <v>68</v>
      </c>
      <c r="B55" s="78"/>
      <c r="C55" s="78"/>
      <c r="D55" s="78"/>
    </row>
    <row r="57" spans="1:7" ht="18.75">
      <c r="A57" s="73" t="s">
        <v>27</v>
      </c>
      <c r="B57" s="74"/>
      <c r="C57" s="102" t="s">
        <v>28</v>
      </c>
      <c r="D57" s="103"/>
    </row>
    <row r="58" spans="1:7" ht="18.75" hidden="1">
      <c r="A58" s="39" t="s">
        <v>39</v>
      </c>
      <c r="B58" s="34">
        <v>2210</v>
      </c>
      <c r="C58" s="104"/>
      <c r="D58" s="104"/>
    </row>
    <row r="59" spans="1:7" ht="18.75" hidden="1">
      <c r="A59" s="39" t="s">
        <v>33</v>
      </c>
      <c r="B59" s="34">
        <v>2210</v>
      </c>
      <c r="C59" s="100"/>
      <c r="D59" s="101"/>
    </row>
    <row r="60" spans="1:7" ht="18.75" hidden="1">
      <c r="A60" s="39" t="s">
        <v>36</v>
      </c>
      <c r="B60" s="34">
        <v>2210</v>
      </c>
      <c r="C60" s="98"/>
      <c r="D60" s="99"/>
      <c r="G60" s="4"/>
    </row>
    <row r="61" spans="1:7" ht="18.75" hidden="1">
      <c r="A61" s="39" t="s">
        <v>41</v>
      </c>
      <c r="B61" s="35">
        <v>3110.221</v>
      </c>
      <c r="C61" s="89"/>
      <c r="D61" s="90"/>
    </row>
    <row r="62" spans="1:7" ht="18.75" hidden="1">
      <c r="A62" s="39" t="s">
        <v>32</v>
      </c>
      <c r="B62" s="34">
        <v>2210</v>
      </c>
      <c r="C62" s="100"/>
      <c r="D62" s="101"/>
    </row>
    <row r="63" spans="1:7" ht="18.75">
      <c r="A63" s="39" t="s">
        <v>34</v>
      </c>
      <c r="B63" s="34">
        <v>2210</v>
      </c>
      <c r="C63" s="100">
        <v>2200</v>
      </c>
      <c r="D63" s="101"/>
    </row>
    <row r="64" spans="1:7" ht="18.75">
      <c r="A64" s="39" t="s">
        <v>40</v>
      </c>
      <c r="B64" s="34">
        <v>2210</v>
      </c>
      <c r="C64" s="100">
        <v>7955</v>
      </c>
      <c r="D64" s="101"/>
    </row>
    <row r="65" spans="1:7" ht="18.75" hidden="1">
      <c r="A65" s="39" t="s">
        <v>35</v>
      </c>
      <c r="B65" s="34">
        <v>3110</v>
      </c>
      <c r="C65" s="89"/>
      <c r="D65" s="90"/>
    </row>
    <row r="66" spans="1:7" ht="18.75" hidden="1">
      <c r="A66" s="39" t="s">
        <v>37</v>
      </c>
      <c r="B66" s="34">
        <v>2210</v>
      </c>
      <c r="C66" s="98"/>
      <c r="D66" s="99"/>
    </row>
    <row r="67" spans="1:7" ht="18.75" hidden="1">
      <c r="A67" s="39" t="s">
        <v>38</v>
      </c>
      <c r="B67" s="34">
        <v>2210</v>
      </c>
      <c r="C67" s="98"/>
      <c r="D67" s="99"/>
    </row>
    <row r="68" spans="1:7" ht="18.75" hidden="1">
      <c r="A68" s="39" t="s">
        <v>50</v>
      </c>
      <c r="B68" s="34">
        <v>2240</v>
      </c>
      <c r="C68" s="98"/>
      <c r="D68" s="99"/>
    </row>
    <row r="69" spans="1:7" ht="18.75">
      <c r="A69" s="39" t="s">
        <v>42</v>
      </c>
      <c r="B69" s="34">
        <v>2230</v>
      </c>
      <c r="C69" s="89">
        <f>4925.89+560.33</f>
        <v>5486.22</v>
      </c>
      <c r="D69" s="90"/>
    </row>
    <row r="70" spans="1:7" ht="18.75" hidden="1">
      <c r="A70" s="39" t="s">
        <v>43</v>
      </c>
      <c r="B70" s="34">
        <v>2210</v>
      </c>
      <c r="C70" s="98"/>
      <c r="D70" s="99"/>
    </row>
    <row r="71" spans="1:7" ht="18.75" hidden="1">
      <c r="A71" s="39" t="s">
        <v>49</v>
      </c>
      <c r="B71" s="34">
        <v>2210</v>
      </c>
      <c r="C71" s="89"/>
      <c r="D71" s="90"/>
    </row>
    <row r="72" spans="1:7" ht="18.75" hidden="1">
      <c r="A72" s="39" t="s">
        <v>47</v>
      </c>
      <c r="B72" s="34">
        <v>2210</v>
      </c>
      <c r="C72" s="89"/>
      <c r="D72" s="90"/>
    </row>
    <row r="73" spans="1:7" ht="18.75" hidden="1">
      <c r="A73" s="39" t="s">
        <v>46</v>
      </c>
      <c r="B73" s="34">
        <v>2210</v>
      </c>
      <c r="C73" s="89"/>
      <c r="D73" s="90"/>
      <c r="G73" s="4"/>
    </row>
    <row r="74" spans="1:7" ht="18.75" hidden="1">
      <c r="A74" s="39" t="s">
        <v>48</v>
      </c>
      <c r="B74" s="40">
        <v>2210</v>
      </c>
      <c r="C74" s="89"/>
      <c r="D74" s="90"/>
    </row>
    <row r="75" spans="1:7" ht="18.75">
      <c r="A75" s="79"/>
      <c r="B75" s="80"/>
      <c r="C75" s="89"/>
      <c r="D75" s="90"/>
    </row>
    <row r="76" spans="1:7" ht="18.75">
      <c r="A76" s="79"/>
      <c r="B76" s="80"/>
      <c r="C76" s="91">
        <f>SUM(C58:D75)</f>
        <v>15641.220000000001</v>
      </c>
      <c r="D76" s="92"/>
    </row>
  </sheetData>
  <mergeCells count="29"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  <mergeCell ref="A57:B57"/>
    <mergeCell ref="C57:D57"/>
    <mergeCell ref="C58:D58"/>
    <mergeCell ref="C68:D68"/>
    <mergeCell ref="C69:D69"/>
    <mergeCell ref="C66:D66"/>
    <mergeCell ref="C67:D67"/>
    <mergeCell ref="C64:D64"/>
    <mergeCell ref="C65:D65"/>
    <mergeCell ref="C59:D59"/>
    <mergeCell ref="C60:D60"/>
    <mergeCell ref="C63:D63"/>
    <mergeCell ref="C61:D61"/>
    <mergeCell ref="C62:D62"/>
    <mergeCell ref="A2:D2"/>
    <mergeCell ref="A5:D5"/>
    <mergeCell ref="A28:D28"/>
    <mergeCell ref="A41:D41"/>
    <mergeCell ref="A55:D55"/>
    <mergeCell ref="A3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I76"/>
  <sheetViews>
    <sheetView topLeftCell="A4" workbookViewId="0">
      <selection activeCell="F4" sqref="F1:F1048576"/>
    </sheetView>
  </sheetViews>
  <sheetFormatPr defaultRowHeight="15"/>
  <cols>
    <col min="1" max="1" width="40.875" style="3" customWidth="1"/>
    <col min="2" max="2" width="9.125" style="1" customWidth="1"/>
    <col min="3" max="3" width="15.625" style="55" customWidth="1"/>
    <col min="4" max="4" width="14.75" style="55" customWidth="1"/>
    <col min="5" max="5" width="10" hidden="1" customWidth="1"/>
    <col min="6" max="6" width="12.375" bestFit="1" customWidth="1"/>
  </cols>
  <sheetData>
    <row r="2" spans="1:6" ht="57" customHeight="1">
      <c r="A2" s="76" t="s">
        <v>69</v>
      </c>
      <c r="B2" s="77"/>
      <c r="C2" s="77"/>
      <c r="D2" s="77"/>
    </row>
    <row r="3" spans="1:6" ht="82.5" customHeight="1">
      <c r="A3" s="86" t="s">
        <v>56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42" customHeight="1">
      <c r="A5" s="83" t="s">
        <v>24</v>
      </c>
      <c r="B5" s="84"/>
      <c r="C5" s="84"/>
      <c r="D5" s="84"/>
    </row>
    <row r="6" spans="1:6" s="2" customFormat="1" ht="74.2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f>2456160+297370</f>
        <v>2753530</v>
      </c>
      <c r="D7" s="61">
        <f>1721041.6+218269.9</f>
        <v>1939311.5</v>
      </c>
      <c r="E7" s="25">
        <f>C7-D7</f>
        <v>814218.5</v>
      </c>
      <c r="F7" s="25"/>
    </row>
    <row r="8" spans="1:6" s="2" customFormat="1" ht="18.75">
      <c r="A8" s="21" t="s">
        <v>44</v>
      </c>
      <c r="B8" s="16">
        <v>2120</v>
      </c>
      <c r="C8" s="61">
        <f>540350+66430</f>
        <v>606780</v>
      </c>
      <c r="D8" s="61">
        <f>398762.25+53189.07</f>
        <v>451951.32</v>
      </c>
      <c r="E8" s="25">
        <f t="shared" ref="E8:E26" si="0">C8-D8</f>
        <v>154828.68</v>
      </c>
      <c r="F8" s="25"/>
    </row>
    <row r="9" spans="1:6" ht="37.5">
      <c r="A9" s="11" t="s">
        <v>2</v>
      </c>
      <c r="B9" s="16">
        <v>2210</v>
      </c>
      <c r="C9" s="20">
        <f>44559+1300</f>
        <v>45859</v>
      </c>
      <c r="D9" s="20">
        <v>5000</v>
      </c>
      <c r="E9" s="25">
        <f t="shared" si="0"/>
        <v>40859</v>
      </c>
      <c r="F9" s="25"/>
    </row>
    <row r="10" spans="1:6" ht="18.75">
      <c r="A10" s="39" t="s">
        <v>70</v>
      </c>
      <c r="B10" s="16">
        <v>2220</v>
      </c>
      <c r="C10" s="20">
        <v>2630</v>
      </c>
      <c r="D10" s="20">
        <v>2620.6</v>
      </c>
      <c r="E10" s="25"/>
      <c r="F10" s="25"/>
    </row>
    <row r="11" spans="1:6" ht="18.75">
      <c r="A11" s="11" t="s">
        <v>3</v>
      </c>
      <c r="B11" s="16">
        <v>2230</v>
      </c>
      <c r="C11" s="20">
        <f>64980+49940</f>
        <v>114920</v>
      </c>
      <c r="D11" s="20">
        <f>27812.7+9379.11</f>
        <v>37191.81</v>
      </c>
      <c r="E11" s="25">
        <f t="shared" si="0"/>
        <v>77728.19</v>
      </c>
      <c r="F11" s="25"/>
    </row>
    <row r="12" spans="1:6" ht="18.75">
      <c r="A12" s="11" t="s">
        <v>4</v>
      </c>
      <c r="B12" s="16">
        <v>2240</v>
      </c>
      <c r="C12" s="20">
        <v>94170</v>
      </c>
      <c r="D12" s="20">
        <v>15041.77</v>
      </c>
      <c r="E12" s="25">
        <f t="shared" si="0"/>
        <v>79128.23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 hidden="1">
      <c r="A15" s="11" t="s">
        <v>7</v>
      </c>
      <c r="B15" s="16">
        <v>2272</v>
      </c>
      <c r="C15" s="20"/>
      <c r="D15" s="20"/>
      <c r="E15" s="25">
        <f t="shared" si="0"/>
        <v>0</v>
      </c>
      <c r="F15" s="25"/>
    </row>
    <row r="16" spans="1:6" ht="18.75">
      <c r="A16" s="11" t="s">
        <v>8</v>
      </c>
      <c r="B16" s="16">
        <v>2273</v>
      </c>
      <c r="C16" s="20">
        <v>73480</v>
      </c>
      <c r="D16" s="20">
        <v>40145.93</v>
      </c>
      <c r="E16" s="25">
        <f t="shared" si="0"/>
        <v>33334.07</v>
      </c>
      <c r="F16" s="25"/>
    </row>
    <row r="17" spans="1:9" ht="18.75">
      <c r="A17" s="11" t="s">
        <v>9</v>
      </c>
      <c r="B17" s="16">
        <v>2274</v>
      </c>
      <c r="C17" s="20">
        <v>334420</v>
      </c>
      <c r="D17" s="20">
        <v>98073.98</v>
      </c>
      <c r="E17" s="25">
        <f t="shared" si="0"/>
        <v>236346.02000000002</v>
      </c>
      <c r="F17" s="25"/>
    </row>
    <row r="18" spans="1:9" ht="18.75" hidden="1">
      <c r="A18" s="11" t="s">
        <v>10</v>
      </c>
      <c r="B18" s="16">
        <v>2275</v>
      </c>
      <c r="C18" s="20"/>
      <c r="D18" s="20"/>
      <c r="E18" s="25">
        <f t="shared" si="0"/>
        <v>0</v>
      </c>
      <c r="F18" s="25"/>
    </row>
    <row r="19" spans="1:9" ht="33.75" customHeight="1">
      <c r="A19" s="11" t="s">
        <v>11</v>
      </c>
      <c r="B19" s="16">
        <v>2282</v>
      </c>
      <c r="C19" s="20">
        <v>2000</v>
      </c>
      <c r="D19" s="20">
        <v>990</v>
      </c>
      <c r="E19" s="25">
        <f t="shared" si="0"/>
        <v>1010</v>
      </c>
      <c r="F19" s="25"/>
    </row>
    <row r="20" spans="1:9" ht="18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1120</v>
      </c>
      <c r="D21" s="20">
        <v>827.22</v>
      </c>
      <c r="E21" s="25">
        <f t="shared" si="0"/>
        <v>292.77999999999997</v>
      </c>
      <c r="F21" s="25"/>
    </row>
    <row r="22" spans="1:9" ht="38.25" customHeight="1">
      <c r="A22" s="11" t="s">
        <v>12</v>
      </c>
      <c r="B22" s="16">
        <v>3110</v>
      </c>
      <c r="C22" s="20">
        <v>54000</v>
      </c>
      <c r="D22" s="20">
        <v>54000</v>
      </c>
      <c r="E22" s="25">
        <f t="shared" si="0"/>
        <v>0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6"/>
      <c r="C26" s="52">
        <f>SUM(C7:C25)</f>
        <v>4082909</v>
      </c>
      <c r="D26" s="52">
        <f>SUM(D7:D25)</f>
        <v>2645154.1300000004</v>
      </c>
      <c r="E26" s="25">
        <f t="shared" si="0"/>
        <v>1437754.8699999996</v>
      </c>
      <c r="F26" s="25"/>
    </row>
    <row r="27" spans="1:9">
      <c r="C27" s="58"/>
      <c r="D27" s="58"/>
    </row>
    <row r="28" spans="1:9" ht="35.25" customHeight="1">
      <c r="A28" s="76" t="s">
        <v>25</v>
      </c>
      <c r="B28" s="85"/>
      <c r="C28" s="85"/>
      <c r="D28" s="85"/>
    </row>
    <row r="29" spans="1:9" ht="18.75">
      <c r="A29" s="26"/>
      <c r="B29" s="28"/>
      <c r="C29" s="67"/>
      <c r="D29" s="63"/>
    </row>
    <row r="30" spans="1:9" ht="75">
      <c r="A30" s="15" t="s">
        <v>0</v>
      </c>
      <c r="B30" s="15" t="s">
        <v>1</v>
      </c>
      <c r="C30" s="60" t="s">
        <v>23</v>
      </c>
      <c r="D30" s="60" t="s">
        <v>18</v>
      </c>
    </row>
    <row r="31" spans="1:9" ht="37.5">
      <c r="A31" s="11" t="s">
        <v>2</v>
      </c>
      <c r="B31" s="17">
        <v>2210</v>
      </c>
      <c r="C31" s="51">
        <f>101+820</f>
        <v>921</v>
      </c>
      <c r="D31" s="20">
        <v>101</v>
      </c>
      <c r="F31" s="25"/>
    </row>
    <row r="32" spans="1:9" ht="18.75">
      <c r="A32" s="12" t="s">
        <v>3</v>
      </c>
      <c r="B32" s="17">
        <v>2230</v>
      </c>
      <c r="C32" s="56">
        <v>19440</v>
      </c>
      <c r="D32" s="51">
        <v>4511.6899999999996</v>
      </c>
      <c r="F32" s="25"/>
    </row>
    <row r="33" spans="1:6" ht="18.75" hidden="1">
      <c r="A33" s="12" t="s">
        <v>4</v>
      </c>
      <c r="B33" s="17">
        <v>2240</v>
      </c>
      <c r="C33" s="20"/>
      <c r="D33" s="20"/>
      <c r="F33" s="25"/>
    </row>
    <row r="34" spans="1:6" ht="18.75" hidden="1">
      <c r="A34" s="12" t="s">
        <v>10</v>
      </c>
      <c r="B34" s="17">
        <v>2275</v>
      </c>
      <c r="C34" s="20"/>
      <c r="D34" s="20"/>
      <c r="F34" s="25"/>
    </row>
    <row r="35" spans="1:6" ht="18.75" hidden="1">
      <c r="A35" s="11" t="s">
        <v>15</v>
      </c>
      <c r="B35" s="17">
        <v>2800</v>
      </c>
      <c r="C35" s="20"/>
      <c r="D35" s="20"/>
      <c r="F35" s="25"/>
    </row>
    <row r="36" spans="1:6" ht="37.5" hidden="1">
      <c r="A36" s="11" t="s">
        <v>12</v>
      </c>
      <c r="B36" s="17">
        <v>3110</v>
      </c>
      <c r="C36" s="20"/>
      <c r="D36" s="20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2">
        <f>SUM(C31:C37)</f>
        <v>20361</v>
      </c>
      <c r="D38" s="52">
        <f>SUM(D31:D37)</f>
        <v>4612.6899999999996</v>
      </c>
      <c r="F38" s="25"/>
    </row>
    <row r="39" spans="1:6">
      <c r="A39" s="1"/>
      <c r="B39" s="5"/>
      <c r="C39" s="58"/>
      <c r="D39" s="58"/>
    </row>
    <row r="40" spans="1:6">
      <c r="A40" s="1"/>
      <c r="B40" s="5"/>
      <c r="C40" s="58"/>
      <c r="D40" s="58"/>
    </row>
    <row r="41" spans="1:6" ht="38.25" customHeight="1">
      <c r="A41" s="71" t="s">
        <v>26</v>
      </c>
      <c r="B41" s="72"/>
      <c r="C41" s="72"/>
      <c r="D41" s="72"/>
    </row>
    <row r="42" spans="1:6">
      <c r="A42" s="1"/>
      <c r="B42" s="5"/>
      <c r="C42" s="58"/>
      <c r="D42" s="58"/>
    </row>
    <row r="43" spans="1:6" ht="75">
      <c r="A43" s="15" t="s">
        <v>0</v>
      </c>
      <c r="B43" s="15" t="s">
        <v>1</v>
      </c>
      <c r="C43" s="60" t="s">
        <v>23</v>
      </c>
      <c r="D43" s="60" t="s">
        <v>18</v>
      </c>
    </row>
    <row r="44" spans="1:6" ht="37.5" hidden="1">
      <c r="A44" s="11" t="s">
        <v>2</v>
      </c>
      <c r="B44" s="17">
        <v>2210</v>
      </c>
      <c r="C44" s="51"/>
      <c r="D44" s="51"/>
      <c r="F44" s="25"/>
    </row>
    <row r="45" spans="1:6" ht="18.75">
      <c r="A45" s="12" t="s">
        <v>3</v>
      </c>
      <c r="B45" s="17">
        <v>2230</v>
      </c>
      <c r="C45" s="51">
        <f>3496.3+1672.32</f>
        <v>5168.62</v>
      </c>
      <c r="D45" s="51">
        <f>3496.3+1672.32</f>
        <v>5168.62</v>
      </c>
      <c r="F45" s="25"/>
    </row>
    <row r="46" spans="1:6" ht="18.75" hidden="1">
      <c r="A46" s="12" t="s">
        <v>4</v>
      </c>
      <c r="B46" s="17">
        <v>2240</v>
      </c>
      <c r="C46" s="51"/>
      <c r="D46" s="51"/>
      <c r="F46" s="25"/>
    </row>
    <row r="47" spans="1:6" ht="18.75" hidden="1">
      <c r="A47" s="39" t="s">
        <v>10</v>
      </c>
      <c r="B47" s="17">
        <v>2275</v>
      </c>
      <c r="C47" s="51"/>
      <c r="D47" s="51"/>
      <c r="F47" s="25"/>
    </row>
    <row r="48" spans="1:6" ht="18.75" hidden="1">
      <c r="A48" s="11" t="s">
        <v>15</v>
      </c>
      <c r="B48" s="17">
        <v>2800</v>
      </c>
      <c r="C48" s="51"/>
      <c r="D48" s="51"/>
      <c r="F48" s="25"/>
    </row>
    <row r="49" spans="1:6" ht="37.5" hidden="1">
      <c r="A49" s="11" t="s">
        <v>12</v>
      </c>
      <c r="B49" s="17">
        <v>3110</v>
      </c>
      <c r="C49" s="51"/>
      <c r="D49" s="51"/>
      <c r="F49" s="25"/>
    </row>
    <row r="50" spans="1:6" ht="18.75" hidden="1">
      <c r="A50" s="18" t="s">
        <v>16</v>
      </c>
      <c r="B50" s="19">
        <v>3132</v>
      </c>
      <c r="C50" s="20"/>
      <c r="D50" s="20"/>
      <c r="F50" s="25"/>
    </row>
    <row r="51" spans="1:6" ht="18.75">
      <c r="A51" s="11" t="s">
        <v>13</v>
      </c>
      <c r="B51" s="17"/>
      <c r="C51" s="52">
        <f>C44+C45+C48+C49+C50+C46</f>
        <v>5168.62</v>
      </c>
      <c r="D51" s="52">
        <f>D44+D45+D48+D49+D50+D46</f>
        <v>5168.62</v>
      </c>
      <c r="F51" s="25"/>
    </row>
    <row r="55" spans="1:6" ht="33.75" customHeight="1">
      <c r="A55" s="71" t="s">
        <v>68</v>
      </c>
      <c r="B55" s="78"/>
      <c r="C55" s="78"/>
      <c r="D55" s="78"/>
    </row>
    <row r="57" spans="1:6" ht="18.75">
      <c r="A57" s="73" t="s">
        <v>27</v>
      </c>
      <c r="B57" s="74"/>
      <c r="C57" s="102" t="s">
        <v>28</v>
      </c>
      <c r="D57" s="103"/>
    </row>
    <row r="58" spans="1:6" ht="18.75" hidden="1">
      <c r="A58" s="39" t="s">
        <v>39</v>
      </c>
      <c r="B58" s="34">
        <v>2210</v>
      </c>
      <c r="C58" s="88"/>
      <c r="D58" s="88"/>
    </row>
    <row r="59" spans="1:6" ht="18.75" hidden="1">
      <c r="A59" s="39" t="s">
        <v>33</v>
      </c>
      <c r="B59" s="34">
        <v>2210</v>
      </c>
      <c r="C59" s="89"/>
      <c r="D59" s="90"/>
    </row>
    <row r="60" spans="1:6" ht="18.75" hidden="1">
      <c r="A60" s="39" t="s">
        <v>36</v>
      </c>
      <c r="B60" s="34">
        <v>2210</v>
      </c>
      <c r="C60" s="89"/>
      <c r="D60" s="90"/>
    </row>
    <row r="61" spans="1:6" ht="18.75" hidden="1">
      <c r="A61" s="39" t="s">
        <v>41</v>
      </c>
      <c r="B61" s="35">
        <v>3110.221</v>
      </c>
      <c r="C61" s="89"/>
      <c r="D61" s="90"/>
    </row>
    <row r="62" spans="1:6" ht="18.75" hidden="1">
      <c r="A62" s="39" t="s">
        <v>32</v>
      </c>
      <c r="B62" s="34">
        <v>2210</v>
      </c>
      <c r="C62" s="89"/>
      <c r="D62" s="90"/>
    </row>
    <row r="63" spans="1:6" ht="18.75" hidden="1">
      <c r="A63" s="39" t="s">
        <v>34</v>
      </c>
      <c r="B63" s="34">
        <v>2210</v>
      </c>
      <c r="C63" s="89"/>
      <c r="D63" s="90"/>
    </row>
    <row r="64" spans="1:6" ht="18.75" hidden="1">
      <c r="A64" s="39" t="s">
        <v>40</v>
      </c>
      <c r="B64" s="34">
        <v>3110</v>
      </c>
      <c r="C64" s="89"/>
      <c r="D64" s="90"/>
    </row>
    <row r="65" spans="1:4" ht="18.75" hidden="1">
      <c r="A65" s="39" t="s">
        <v>35</v>
      </c>
      <c r="B65" s="34">
        <v>3110</v>
      </c>
      <c r="C65" s="89"/>
      <c r="D65" s="90"/>
    </row>
    <row r="66" spans="1:4" ht="18.75" hidden="1">
      <c r="A66" s="39" t="s">
        <v>37</v>
      </c>
      <c r="B66" s="34">
        <v>2210</v>
      </c>
      <c r="C66" s="89"/>
      <c r="D66" s="90"/>
    </row>
    <row r="67" spans="1:4" ht="18.75" hidden="1">
      <c r="A67" s="39" t="s">
        <v>38</v>
      </c>
      <c r="B67" s="34">
        <v>2210</v>
      </c>
      <c r="C67" s="89"/>
      <c r="D67" s="90"/>
    </row>
    <row r="68" spans="1:4" ht="18.75" hidden="1">
      <c r="A68" s="39" t="s">
        <v>50</v>
      </c>
      <c r="B68" s="34">
        <v>2240</v>
      </c>
      <c r="C68" s="89"/>
      <c r="D68" s="90"/>
    </row>
    <row r="69" spans="1:4" ht="18.75">
      <c r="A69" s="39" t="s">
        <v>42</v>
      </c>
      <c r="B69" s="34">
        <v>2230</v>
      </c>
      <c r="C69" s="89">
        <f>4632.28+536.34</f>
        <v>5168.62</v>
      </c>
      <c r="D69" s="90"/>
    </row>
    <row r="70" spans="1:4" ht="18.75" hidden="1">
      <c r="A70" s="39" t="s">
        <v>43</v>
      </c>
      <c r="B70" s="34">
        <v>2210</v>
      </c>
      <c r="C70" s="98"/>
      <c r="D70" s="99"/>
    </row>
    <row r="71" spans="1:4" ht="18.75" hidden="1">
      <c r="A71" s="39" t="s">
        <v>49</v>
      </c>
      <c r="B71" s="34">
        <v>2210</v>
      </c>
      <c r="C71" s="89"/>
      <c r="D71" s="90"/>
    </row>
    <row r="72" spans="1:4" ht="18.75" hidden="1">
      <c r="A72" s="39" t="s">
        <v>47</v>
      </c>
      <c r="B72" s="34">
        <v>2210</v>
      </c>
      <c r="C72" s="89"/>
      <c r="D72" s="90"/>
    </row>
    <row r="73" spans="1:4" ht="18.75" hidden="1">
      <c r="A73" s="39" t="s">
        <v>46</v>
      </c>
      <c r="B73" s="34">
        <v>2210</v>
      </c>
      <c r="C73" s="89"/>
      <c r="D73" s="90"/>
    </row>
    <row r="74" spans="1:4" ht="18.75" hidden="1">
      <c r="A74" s="39" t="s">
        <v>48</v>
      </c>
      <c r="B74" s="40">
        <v>2210</v>
      </c>
      <c r="C74" s="89"/>
      <c r="D74" s="90"/>
    </row>
    <row r="75" spans="1:4" ht="18.75">
      <c r="A75" s="79"/>
      <c r="B75" s="80"/>
      <c r="C75" s="89"/>
      <c r="D75" s="90"/>
    </row>
    <row r="76" spans="1:4" ht="18.75">
      <c r="A76" s="79"/>
      <c r="B76" s="80"/>
      <c r="C76" s="91">
        <f>SUM(C58:D75)</f>
        <v>5168.62</v>
      </c>
      <c r="D76" s="92"/>
    </row>
  </sheetData>
  <mergeCells count="29">
    <mergeCell ref="A76:B76"/>
    <mergeCell ref="C76:D76"/>
    <mergeCell ref="C72:D72"/>
    <mergeCell ref="C73:D73"/>
    <mergeCell ref="C74:D74"/>
    <mergeCell ref="A75:B75"/>
    <mergeCell ref="C75:D75"/>
    <mergeCell ref="C67:D67"/>
    <mergeCell ref="C68:D68"/>
    <mergeCell ref="C69:D69"/>
    <mergeCell ref="C70:D70"/>
    <mergeCell ref="C71:D71"/>
    <mergeCell ref="A3:D3"/>
    <mergeCell ref="A2:D2"/>
    <mergeCell ref="A5:D5"/>
    <mergeCell ref="A28:D28"/>
    <mergeCell ref="A41:D41"/>
    <mergeCell ref="A55:D55"/>
    <mergeCell ref="C66:D66"/>
    <mergeCell ref="C59:D59"/>
    <mergeCell ref="C64:D64"/>
    <mergeCell ref="C65:D65"/>
    <mergeCell ref="C60:D60"/>
    <mergeCell ref="C63:D63"/>
    <mergeCell ref="C61:D61"/>
    <mergeCell ref="C62:D62"/>
    <mergeCell ref="A57:B57"/>
    <mergeCell ref="C57:D57"/>
    <mergeCell ref="C58:D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I78"/>
  <sheetViews>
    <sheetView topLeftCell="A5" workbookViewId="0">
      <selection activeCell="F5" sqref="F1:F1048576"/>
    </sheetView>
  </sheetViews>
  <sheetFormatPr defaultRowHeight="15"/>
  <cols>
    <col min="1" max="1" width="40.875" style="3" customWidth="1"/>
    <col min="2" max="2" width="7.375" style="1" customWidth="1"/>
    <col min="3" max="3" width="18.875" style="55" customWidth="1"/>
    <col min="4" max="4" width="15.375" style="55" customWidth="1"/>
    <col min="5" max="5" width="10.625" hidden="1" customWidth="1"/>
    <col min="6" max="6" width="11.25" customWidth="1"/>
  </cols>
  <sheetData>
    <row r="2" spans="1:6" ht="61.5" customHeight="1">
      <c r="A2" s="76" t="s">
        <v>69</v>
      </c>
      <c r="B2" s="77"/>
      <c r="C2" s="77"/>
      <c r="D2" s="77"/>
    </row>
    <row r="3" spans="1:6" ht="66" customHeight="1">
      <c r="A3" s="86" t="s">
        <v>62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39.75" customHeight="1">
      <c r="A5" s="83" t="s">
        <v>24</v>
      </c>
      <c r="B5" s="84"/>
      <c r="C5" s="84"/>
      <c r="D5" s="84"/>
    </row>
    <row r="6" spans="1:6" s="2" customFormat="1" ht="74.2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f>2527180+539450</f>
        <v>3066630</v>
      </c>
      <c r="D7" s="61">
        <f>1667600.81+361261.97</f>
        <v>2028862.78</v>
      </c>
      <c r="E7" s="25">
        <f>C7-D7</f>
        <v>1037767.22</v>
      </c>
      <c r="F7" s="25"/>
    </row>
    <row r="8" spans="1:6" s="2" customFormat="1" ht="18.75">
      <c r="A8" s="21" t="s">
        <v>44</v>
      </c>
      <c r="B8" s="16">
        <v>2120</v>
      </c>
      <c r="C8" s="61">
        <f>555980+120520</f>
        <v>676500</v>
      </c>
      <c r="D8" s="61">
        <f>81893.05+392902.68</f>
        <v>474795.73</v>
      </c>
      <c r="E8" s="25">
        <f t="shared" ref="E8:E26" si="0">C8-D8</f>
        <v>201704.27000000002</v>
      </c>
      <c r="F8" s="25"/>
    </row>
    <row r="9" spans="1:6" ht="37.5">
      <c r="A9" s="11" t="s">
        <v>2</v>
      </c>
      <c r="B9" s="16">
        <v>2210</v>
      </c>
      <c r="C9" s="20">
        <f>98085+1300</f>
        <v>99385</v>
      </c>
      <c r="D9" s="20">
        <v>23835</v>
      </c>
      <c r="E9" s="25">
        <f t="shared" si="0"/>
        <v>75550</v>
      </c>
      <c r="F9" s="25"/>
    </row>
    <row r="10" spans="1:6" ht="18.75">
      <c r="A10" s="39" t="s">
        <v>70</v>
      </c>
      <c r="B10" s="16">
        <v>2220</v>
      </c>
      <c r="C10" s="20">
        <v>2420</v>
      </c>
      <c r="D10" s="20">
        <v>2400</v>
      </c>
      <c r="E10" s="25"/>
      <c r="F10" s="25"/>
    </row>
    <row r="11" spans="1:6" ht="18.75">
      <c r="A11" s="11" t="s">
        <v>3</v>
      </c>
      <c r="B11" s="16">
        <v>2230</v>
      </c>
      <c r="C11" s="20">
        <f>90130+49940</f>
        <v>140070</v>
      </c>
      <c r="D11" s="20">
        <f>30258+15474.59</f>
        <v>45732.59</v>
      </c>
      <c r="E11" s="25">
        <f t="shared" si="0"/>
        <v>94337.41</v>
      </c>
      <c r="F11" s="25"/>
    </row>
    <row r="12" spans="1:6" ht="18.75">
      <c r="A12" s="11" t="s">
        <v>4</v>
      </c>
      <c r="B12" s="16">
        <v>2240</v>
      </c>
      <c r="C12" s="20">
        <v>29330</v>
      </c>
      <c r="D12" s="20">
        <f>111.72+22791.03</f>
        <v>22902.75</v>
      </c>
      <c r="E12" s="25">
        <f t="shared" si="0"/>
        <v>6427.25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 hidden="1">
      <c r="A15" s="11" t="s">
        <v>7</v>
      </c>
      <c r="B15" s="16">
        <v>2272</v>
      </c>
      <c r="C15" s="20"/>
      <c r="D15" s="20"/>
      <c r="E15" s="25">
        <f t="shared" si="0"/>
        <v>0</v>
      </c>
      <c r="F15" s="25"/>
    </row>
    <row r="16" spans="1:6" ht="18.75">
      <c r="A16" s="11" t="s">
        <v>8</v>
      </c>
      <c r="B16" s="16">
        <v>2273</v>
      </c>
      <c r="C16" s="20">
        <f>32110+11210</f>
        <v>43320</v>
      </c>
      <c r="D16" s="20">
        <f>23672.02+6614.84</f>
        <v>30286.86</v>
      </c>
      <c r="E16" s="25">
        <f t="shared" si="0"/>
        <v>13033.14</v>
      </c>
      <c r="F16" s="25"/>
    </row>
    <row r="17" spans="1:9" ht="18.75">
      <c r="A17" s="11" t="s">
        <v>9</v>
      </c>
      <c r="B17" s="16">
        <v>2274</v>
      </c>
      <c r="C17" s="20">
        <f>298760+74900</f>
        <v>373660</v>
      </c>
      <c r="D17" s="20">
        <f>16658.39+55106.27</f>
        <v>71764.66</v>
      </c>
      <c r="E17" s="25">
        <f t="shared" si="0"/>
        <v>301895.33999999997</v>
      </c>
      <c r="F17" s="25"/>
    </row>
    <row r="18" spans="1:9" ht="18.75" hidden="1">
      <c r="A18" s="11" t="s">
        <v>10</v>
      </c>
      <c r="B18" s="16">
        <v>2275</v>
      </c>
      <c r="C18" s="20"/>
      <c r="D18" s="20"/>
      <c r="E18" s="25">
        <f t="shared" si="0"/>
        <v>0</v>
      </c>
      <c r="F18" s="25"/>
    </row>
    <row r="19" spans="1:9" ht="33.75" customHeight="1">
      <c r="A19" s="11" t="s">
        <v>11</v>
      </c>
      <c r="B19" s="16">
        <v>2282</v>
      </c>
      <c r="C19" s="20">
        <v>2000</v>
      </c>
      <c r="D19" s="20">
        <v>1440</v>
      </c>
      <c r="E19" s="25">
        <f t="shared" si="0"/>
        <v>560</v>
      </c>
      <c r="F19" s="25"/>
    </row>
    <row r="20" spans="1:9" ht="18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750</v>
      </c>
      <c r="D21" s="20">
        <v>552.25</v>
      </c>
      <c r="E21" s="25">
        <f t="shared" si="0"/>
        <v>197.75</v>
      </c>
      <c r="F21" s="25"/>
    </row>
    <row r="22" spans="1:9" ht="39" customHeight="1">
      <c r="A22" s="11" t="s">
        <v>12</v>
      </c>
      <c r="B22" s="16">
        <v>3110</v>
      </c>
      <c r="C22" s="20">
        <v>20664</v>
      </c>
      <c r="D22" s="20">
        <v>20663.75</v>
      </c>
      <c r="E22" s="25">
        <f t="shared" si="0"/>
        <v>0.25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2"/>
      <c r="C26" s="52">
        <f>SUM(C7:C25)</f>
        <v>4454729</v>
      </c>
      <c r="D26" s="52">
        <f>SUM(D7:D25)</f>
        <v>2723236.3699999996</v>
      </c>
      <c r="E26" s="25">
        <f t="shared" si="0"/>
        <v>1731492.6300000004</v>
      </c>
      <c r="F26" s="25"/>
    </row>
    <row r="27" spans="1:9">
      <c r="C27" s="58"/>
      <c r="D27" s="58"/>
    </row>
    <row r="28" spans="1:9" ht="33.75" customHeight="1">
      <c r="A28" s="76" t="s">
        <v>25</v>
      </c>
      <c r="B28" s="85"/>
      <c r="C28" s="85"/>
      <c r="D28" s="85"/>
    </row>
    <row r="29" spans="1:9" ht="18.75">
      <c r="A29" s="27"/>
      <c r="B29" s="7"/>
      <c r="C29" s="67"/>
      <c r="D29" s="63"/>
    </row>
    <row r="30" spans="1:9" ht="75">
      <c r="A30" s="15" t="s">
        <v>0</v>
      </c>
      <c r="B30" s="15" t="s">
        <v>1</v>
      </c>
      <c r="C30" s="60" t="s">
        <v>23</v>
      </c>
      <c r="D30" s="60" t="s">
        <v>18</v>
      </c>
    </row>
    <row r="31" spans="1:9" ht="37.5">
      <c r="A31" s="11" t="s">
        <v>2</v>
      </c>
      <c r="B31" s="17">
        <v>2210</v>
      </c>
      <c r="C31" s="51">
        <v>860</v>
      </c>
      <c r="D31" s="20"/>
      <c r="F31" s="25"/>
    </row>
    <row r="32" spans="1:9" ht="18.75">
      <c r="A32" s="12" t="s">
        <v>3</v>
      </c>
      <c r="B32" s="17">
        <v>2230</v>
      </c>
      <c r="C32" s="56">
        <v>19390</v>
      </c>
      <c r="D32" s="51">
        <v>4798.6400000000003</v>
      </c>
      <c r="F32" s="25"/>
    </row>
    <row r="33" spans="1:6" ht="18.75" hidden="1">
      <c r="A33" s="12" t="s">
        <v>4</v>
      </c>
      <c r="B33" s="17">
        <v>2240</v>
      </c>
      <c r="C33" s="51"/>
      <c r="D33" s="20"/>
      <c r="F33" s="25"/>
    </row>
    <row r="34" spans="1:6" ht="18.75" hidden="1">
      <c r="A34" s="11" t="s">
        <v>10</v>
      </c>
      <c r="B34" s="49">
        <v>2275</v>
      </c>
      <c r="C34" s="51"/>
      <c r="D34" s="20"/>
      <c r="F34" s="25"/>
    </row>
    <row r="35" spans="1:6" ht="18.75" hidden="1">
      <c r="A35" s="11" t="s">
        <v>15</v>
      </c>
      <c r="B35" s="17">
        <v>2800</v>
      </c>
      <c r="C35" s="20"/>
      <c r="D35" s="20"/>
      <c r="F35" s="25"/>
    </row>
    <row r="36" spans="1:6" ht="37.5" hidden="1">
      <c r="A36" s="11" t="s">
        <v>12</v>
      </c>
      <c r="B36" s="17">
        <v>3110</v>
      </c>
      <c r="C36" s="20"/>
      <c r="D36" s="20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2">
        <f>SUM(C31:C37)</f>
        <v>20250</v>
      </c>
      <c r="D38" s="52">
        <f>SUM(D31:D37)</f>
        <v>4798.6400000000003</v>
      </c>
      <c r="F38" s="25"/>
    </row>
    <row r="39" spans="1:6">
      <c r="A39" s="1"/>
      <c r="B39" s="5"/>
      <c r="C39" s="58"/>
      <c r="D39" s="58"/>
    </row>
    <row r="40" spans="1:6">
      <c r="A40" s="1"/>
      <c r="B40" s="5"/>
      <c r="C40" s="58"/>
      <c r="D40" s="58"/>
    </row>
    <row r="41" spans="1:6" ht="35.25" customHeight="1">
      <c r="A41" s="71" t="s">
        <v>26</v>
      </c>
      <c r="B41" s="72"/>
      <c r="C41" s="72"/>
      <c r="D41" s="72"/>
    </row>
    <row r="42" spans="1:6">
      <c r="A42" s="1"/>
      <c r="B42" s="5"/>
      <c r="C42" s="58"/>
      <c r="D42" s="58"/>
    </row>
    <row r="43" spans="1:6" ht="75">
      <c r="A43" s="15" t="s">
        <v>0</v>
      </c>
      <c r="B43" s="15" t="s">
        <v>1</v>
      </c>
      <c r="C43" s="60" t="s">
        <v>23</v>
      </c>
      <c r="D43" s="60" t="s">
        <v>18</v>
      </c>
    </row>
    <row r="44" spans="1:6" ht="37.5">
      <c r="A44" s="11" t="s">
        <v>2</v>
      </c>
      <c r="B44" s="17">
        <v>2210</v>
      </c>
      <c r="C44" s="51">
        <v>24450.03</v>
      </c>
      <c r="D44" s="51">
        <f>2250+21970</f>
        <v>24220</v>
      </c>
      <c r="F44" s="25"/>
    </row>
    <row r="45" spans="1:6" ht="18.75">
      <c r="A45" s="12" t="s">
        <v>3</v>
      </c>
      <c r="B45" s="17">
        <v>2230</v>
      </c>
      <c r="C45" s="51">
        <f>11411.44+3432.73</f>
        <v>14844.17</v>
      </c>
      <c r="D45" s="51">
        <f>11411.44+3432.73</f>
        <v>14844.17</v>
      </c>
      <c r="F45" s="25"/>
    </row>
    <row r="46" spans="1:6" ht="18.75" hidden="1">
      <c r="A46" s="12" t="s">
        <v>4</v>
      </c>
      <c r="B46" s="17">
        <v>2240</v>
      </c>
      <c r="C46" s="51"/>
      <c r="D46" s="51"/>
      <c r="F46" s="25"/>
    </row>
    <row r="47" spans="1:6" ht="18.75" hidden="1">
      <c r="A47" s="39" t="s">
        <v>10</v>
      </c>
      <c r="B47" s="17">
        <v>2275</v>
      </c>
      <c r="C47" s="51"/>
      <c r="D47" s="51"/>
      <c r="F47" s="25"/>
    </row>
    <row r="48" spans="1:6" ht="18.75" hidden="1">
      <c r="A48" s="11" t="s">
        <v>15</v>
      </c>
      <c r="B48" s="17">
        <v>2800</v>
      </c>
      <c r="C48" s="51"/>
      <c r="D48" s="51"/>
      <c r="F48" s="25"/>
    </row>
    <row r="49" spans="1:7" ht="37.5" hidden="1">
      <c r="A49" s="11" t="s">
        <v>12</v>
      </c>
      <c r="B49" s="17">
        <v>3110</v>
      </c>
      <c r="C49" s="51"/>
      <c r="D49" s="51"/>
      <c r="F49" s="25"/>
    </row>
    <row r="50" spans="1:7" ht="18.75" hidden="1">
      <c r="A50" s="18" t="s">
        <v>16</v>
      </c>
      <c r="B50" s="19">
        <v>3132</v>
      </c>
      <c r="C50" s="20"/>
      <c r="D50" s="20"/>
      <c r="F50" s="25"/>
    </row>
    <row r="51" spans="1:7" ht="18.75">
      <c r="A51" s="11" t="s">
        <v>13</v>
      </c>
      <c r="B51" s="17"/>
      <c r="C51" s="52">
        <f>C44+C45+C48+C49+C50+C46</f>
        <v>39294.199999999997</v>
      </c>
      <c r="D51" s="52">
        <f>D44+D45+D48+D49+D50+D46</f>
        <v>39064.17</v>
      </c>
      <c r="F51" s="25"/>
      <c r="G51" s="4"/>
    </row>
    <row r="55" spans="1:7" ht="34.5" customHeight="1">
      <c r="A55" s="71" t="s">
        <v>68</v>
      </c>
      <c r="B55" s="78"/>
      <c r="C55" s="78"/>
      <c r="D55" s="78"/>
    </row>
    <row r="57" spans="1:7" ht="18.75">
      <c r="A57" s="73" t="s">
        <v>27</v>
      </c>
      <c r="B57" s="74"/>
      <c r="C57" s="102" t="s">
        <v>28</v>
      </c>
      <c r="D57" s="103"/>
    </row>
    <row r="58" spans="1:7" ht="18.75" hidden="1">
      <c r="A58" s="39" t="s">
        <v>39</v>
      </c>
      <c r="B58" s="34">
        <v>2210</v>
      </c>
      <c r="C58" s="88"/>
      <c r="D58" s="88"/>
    </row>
    <row r="59" spans="1:7" ht="18.75" hidden="1">
      <c r="A59" s="39" t="s">
        <v>33</v>
      </c>
      <c r="B59" s="34">
        <v>2210</v>
      </c>
      <c r="C59" s="89"/>
      <c r="D59" s="90"/>
    </row>
    <row r="60" spans="1:7" ht="18.75">
      <c r="A60" s="39" t="s">
        <v>36</v>
      </c>
      <c r="B60" s="34">
        <v>2210</v>
      </c>
      <c r="C60" s="89">
        <v>22020</v>
      </c>
      <c r="D60" s="90"/>
    </row>
    <row r="61" spans="1:7" ht="18.75" hidden="1">
      <c r="A61" s="39" t="s">
        <v>41</v>
      </c>
      <c r="B61" s="35">
        <v>3110.221</v>
      </c>
      <c r="C61" s="89"/>
      <c r="D61" s="90"/>
    </row>
    <row r="62" spans="1:7" ht="18.75" hidden="1">
      <c r="A62" s="39" t="s">
        <v>32</v>
      </c>
      <c r="B62" s="34">
        <v>2210</v>
      </c>
      <c r="C62" s="89"/>
      <c r="D62" s="90"/>
    </row>
    <row r="63" spans="1:7" ht="18.75">
      <c r="A63" s="39" t="s">
        <v>34</v>
      </c>
      <c r="B63" s="34">
        <v>2210</v>
      </c>
      <c r="C63" s="89">
        <v>2200</v>
      </c>
      <c r="D63" s="90"/>
    </row>
    <row r="64" spans="1:7" ht="18.75" hidden="1">
      <c r="A64" s="39" t="s">
        <v>40</v>
      </c>
      <c r="B64" s="34">
        <v>2210</v>
      </c>
      <c r="C64" s="89"/>
      <c r="D64" s="90"/>
    </row>
    <row r="65" spans="1:4" ht="18.75" hidden="1">
      <c r="A65" s="39" t="s">
        <v>35</v>
      </c>
      <c r="B65" s="34">
        <v>3110</v>
      </c>
      <c r="C65" s="89"/>
      <c r="D65" s="90"/>
    </row>
    <row r="66" spans="1:4" ht="18.75" hidden="1">
      <c r="A66" s="39" t="s">
        <v>37</v>
      </c>
      <c r="B66" s="34">
        <v>2210</v>
      </c>
      <c r="C66" s="89"/>
      <c r="D66" s="90"/>
    </row>
    <row r="67" spans="1:4" ht="18.75" hidden="1">
      <c r="A67" s="39" t="s">
        <v>38</v>
      </c>
      <c r="B67" s="34">
        <v>2210</v>
      </c>
      <c r="C67" s="89"/>
      <c r="D67" s="90"/>
    </row>
    <row r="68" spans="1:4" ht="18.75" hidden="1">
      <c r="A68" s="39" t="s">
        <v>50</v>
      </c>
      <c r="B68" s="34">
        <v>2240</v>
      </c>
      <c r="C68" s="89"/>
      <c r="D68" s="90"/>
    </row>
    <row r="69" spans="1:4" ht="18.75">
      <c r="A69" s="39" t="s">
        <v>42</v>
      </c>
      <c r="B69" s="34">
        <v>2230</v>
      </c>
      <c r="C69" s="89">
        <f>11411.44+3432.73</f>
        <v>14844.17</v>
      </c>
      <c r="D69" s="90"/>
    </row>
    <row r="70" spans="1:4" ht="18.75" hidden="1">
      <c r="A70" s="39" t="s">
        <v>43</v>
      </c>
      <c r="B70" s="34">
        <v>2210</v>
      </c>
      <c r="C70" s="89"/>
      <c r="D70" s="90"/>
    </row>
    <row r="71" spans="1:4" ht="18.75" hidden="1">
      <c r="A71" s="39" t="s">
        <v>49</v>
      </c>
      <c r="B71" s="34">
        <v>2210</v>
      </c>
      <c r="C71" s="89"/>
      <c r="D71" s="90"/>
    </row>
    <row r="72" spans="1:4" ht="18.75" hidden="1">
      <c r="A72" s="39" t="s">
        <v>47</v>
      </c>
      <c r="B72" s="34">
        <v>2210</v>
      </c>
      <c r="C72" s="89"/>
      <c r="D72" s="90"/>
    </row>
    <row r="73" spans="1:4" ht="18.75" hidden="1">
      <c r="A73" s="39" t="s">
        <v>46</v>
      </c>
      <c r="B73" s="34">
        <v>2210</v>
      </c>
      <c r="C73" s="89"/>
      <c r="D73" s="90"/>
    </row>
    <row r="74" spans="1:4" ht="18.75" hidden="1">
      <c r="A74" s="39" t="s">
        <v>48</v>
      </c>
      <c r="B74" s="40">
        <v>2210</v>
      </c>
      <c r="C74" s="89"/>
      <c r="D74" s="90"/>
    </row>
    <row r="75" spans="1:4" ht="18.75">
      <c r="A75" s="79"/>
      <c r="B75" s="80"/>
      <c r="C75" s="89"/>
      <c r="D75" s="90"/>
    </row>
    <row r="76" spans="1:4" ht="18.75">
      <c r="A76" s="79"/>
      <c r="B76" s="80"/>
      <c r="C76" s="91">
        <f>SUM(C58:D75)</f>
        <v>39064.17</v>
      </c>
      <c r="D76" s="92"/>
    </row>
    <row r="78" spans="1:4" ht="37.5" hidden="1" customHeight="1">
      <c r="A78" s="71" t="s">
        <v>60</v>
      </c>
      <c r="B78" s="72"/>
      <c r="C78" s="72"/>
      <c r="D78" s="72"/>
    </row>
  </sheetData>
  <mergeCells count="30"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A3:D3"/>
    <mergeCell ref="A2:D2"/>
    <mergeCell ref="A5:D5"/>
    <mergeCell ref="A28:D28"/>
    <mergeCell ref="A41:D41"/>
    <mergeCell ref="A78:D78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I79"/>
  <sheetViews>
    <sheetView topLeftCell="A5" workbookViewId="0">
      <selection activeCell="F5" sqref="F1:F1048576"/>
    </sheetView>
  </sheetViews>
  <sheetFormatPr defaultRowHeight="15"/>
  <cols>
    <col min="1" max="1" width="40.875" style="3" customWidth="1"/>
    <col min="2" max="2" width="8.75" style="1" customWidth="1"/>
    <col min="3" max="3" width="17.875" style="55" customWidth="1"/>
    <col min="4" max="4" width="15" style="55" customWidth="1"/>
    <col min="5" max="5" width="10.75" hidden="1" customWidth="1"/>
    <col min="6" max="6" width="11.125" customWidth="1"/>
  </cols>
  <sheetData>
    <row r="2" spans="1:6" ht="56.25" customHeight="1">
      <c r="A2" s="76" t="s">
        <v>69</v>
      </c>
      <c r="B2" s="77"/>
      <c r="C2" s="77"/>
      <c r="D2" s="77"/>
    </row>
    <row r="3" spans="1:6" ht="47.25" customHeight="1">
      <c r="A3" s="86" t="s">
        <v>31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45.75" customHeight="1">
      <c r="A5" s="83" t="s">
        <v>24</v>
      </c>
      <c r="B5" s="84"/>
      <c r="C5" s="84"/>
      <c r="D5" s="84"/>
    </row>
    <row r="6" spans="1:6" s="2" customFormat="1" ht="7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f>3463398</f>
        <v>3463398</v>
      </c>
      <c r="D7" s="61">
        <f>2436502.71+90991.36</f>
        <v>2527494.0699999998</v>
      </c>
      <c r="E7" s="25">
        <f>C7-D7</f>
        <v>935903.93000000017</v>
      </c>
      <c r="F7" s="25"/>
    </row>
    <row r="8" spans="1:6" s="2" customFormat="1" ht="18.75">
      <c r="A8" s="21" t="s">
        <v>44</v>
      </c>
      <c r="B8" s="16">
        <v>2120</v>
      </c>
      <c r="C8" s="61">
        <v>761942</v>
      </c>
      <c r="D8" s="61">
        <f>551947.38+20018.08</f>
        <v>571965.46</v>
      </c>
      <c r="E8" s="25">
        <f t="shared" ref="E8:E26" si="0">C8-D8</f>
        <v>189976.54000000004</v>
      </c>
      <c r="F8" s="25"/>
    </row>
    <row r="9" spans="1:6" ht="37.5">
      <c r="A9" s="11" t="s">
        <v>2</v>
      </c>
      <c r="B9" s="16">
        <v>2210</v>
      </c>
      <c r="C9" s="20">
        <v>142155</v>
      </c>
      <c r="D9" s="20">
        <v>54524</v>
      </c>
      <c r="E9" s="25">
        <f t="shared" si="0"/>
        <v>87631</v>
      </c>
      <c r="F9" s="25"/>
    </row>
    <row r="10" spans="1:6" ht="18.75">
      <c r="A10" s="39" t="s">
        <v>70</v>
      </c>
      <c r="B10" s="16">
        <v>2220</v>
      </c>
      <c r="C10" s="20">
        <v>6320</v>
      </c>
      <c r="D10" s="20">
        <v>4800</v>
      </c>
      <c r="E10" s="25"/>
      <c r="F10" s="25"/>
    </row>
    <row r="11" spans="1:6" ht="18.75">
      <c r="A11" s="11" t="s">
        <v>3</v>
      </c>
      <c r="B11" s="16">
        <v>2230</v>
      </c>
      <c r="C11" s="20">
        <v>135140</v>
      </c>
      <c r="D11" s="20">
        <v>70197.100000000006</v>
      </c>
      <c r="E11" s="25">
        <f t="shared" si="0"/>
        <v>64942.899999999994</v>
      </c>
      <c r="F11" s="25"/>
    </row>
    <row r="12" spans="1:6" ht="18.75">
      <c r="A12" s="11" t="s">
        <v>4</v>
      </c>
      <c r="B12" s="16">
        <v>2240</v>
      </c>
      <c r="C12" s="20">
        <v>202480</v>
      </c>
      <c r="D12" s="20">
        <v>102369.29</v>
      </c>
      <c r="E12" s="25">
        <f t="shared" si="0"/>
        <v>100110.71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>
      <c r="A15" s="11" t="s">
        <v>7</v>
      </c>
      <c r="B15" s="16">
        <v>2272</v>
      </c>
      <c r="C15" s="20">
        <v>4180</v>
      </c>
      <c r="D15" s="20">
        <v>1180.8</v>
      </c>
      <c r="E15" s="25">
        <f t="shared" si="0"/>
        <v>2999.2</v>
      </c>
      <c r="F15" s="25"/>
    </row>
    <row r="16" spans="1:6" ht="18.75">
      <c r="A16" s="11" t="s">
        <v>8</v>
      </c>
      <c r="B16" s="16">
        <v>2273</v>
      </c>
      <c r="C16" s="20">
        <v>57750</v>
      </c>
      <c r="D16" s="20">
        <v>14828.33</v>
      </c>
      <c r="E16" s="25">
        <f t="shared" si="0"/>
        <v>42921.67</v>
      </c>
      <c r="F16" s="25"/>
    </row>
    <row r="17" spans="1:9" ht="18.75" hidden="1">
      <c r="A17" s="11" t="s">
        <v>9</v>
      </c>
      <c r="B17" s="16">
        <v>2274</v>
      </c>
      <c r="C17" s="20"/>
      <c r="D17" s="20"/>
      <c r="E17" s="25">
        <f t="shared" si="0"/>
        <v>0</v>
      </c>
      <c r="F17" s="25"/>
    </row>
    <row r="18" spans="1:9" ht="18.75">
      <c r="A18" s="11" t="s">
        <v>10</v>
      </c>
      <c r="B18" s="16">
        <v>2275</v>
      </c>
      <c r="C18" s="20">
        <v>468106</v>
      </c>
      <c r="D18" s="20"/>
      <c r="E18" s="25">
        <f t="shared" si="0"/>
        <v>468106</v>
      </c>
      <c r="F18" s="25"/>
    </row>
    <row r="19" spans="1:9" ht="33" customHeight="1">
      <c r="A19" s="11" t="s">
        <v>11</v>
      </c>
      <c r="B19" s="16">
        <v>2282</v>
      </c>
      <c r="C19" s="20">
        <v>2000</v>
      </c>
      <c r="D19" s="20">
        <v>1440</v>
      </c>
      <c r="E19" s="25">
        <f t="shared" si="0"/>
        <v>560</v>
      </c>
      <c r="F19" s="25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14700</v>
      </c>
      <c r="D21" s="20">
        <v>13445.38</v>
      </c>
      <c r="E21" s="25">
        <f t="shared" si="0"/>
        <v>1254.6200000000008</v>
      </c>
      <c r="F21" s="25"/>
    </row>
    <row r="22" spans="1:9" ht="36.75" customHeight="1">
      <c r="A22" s="11" t="s">
        <v>12</v>
      </c>
      <c r="B22" s="16">
        <v>3110</v>
      </c>
      <c r="C22" s="20">
        <v>97014</v>
      </c>
      <c r="D22" s="20">
        <f>54000+37000+6014</f>
        <v>97014</v>
      </c>
      <c r="E22" s="25">
        <f t="shared" si="0"/>
        <v>0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6"/>
      <c r="C26" s="52">
        <f>SUM(C7:C25)</f>
        <v>5355185</v>
      </c>
      <c r="D26" s="52">
        <f>SUM(D7:D25)</f>
        <v>3459258.4299999997</v>
      </c>
      <c r="E26" s="25">
        <f t="shared" si="0"/>
        <v>1895926.5700000003</v>
      </c>
      <c r="F26" s="25"/>
    </row>
    <row r="27" spans="1:9">
      <c r="C27" s="58"/>
      <c r="D27" s="58"/>
    </row>
    <row r="28" spans="1:9" ht="18.75">
      <c r="A28" s="23"/>
      <c r="B28" s="24"/>
      <c r="C28" s="67"/>
      <c r="D28" s="59"/>
    </row>
    <row r="29" spans="1:9" ht="33" customHeight="1">
      <c r="A29" s="76" t="s">
        <v>25</v>
      </c>
      <c r="B29" s="85"/>
      <c r="C29" s="85"/>
      <c r="D29" s="85"/>
    </row>
    <row r="30" spans="1:9" ht="18.75">
      <c r="A30" s="26"/>
      <c r="B30" s="28"/>
      <c r="C30" s="67"/>
      <c r="D30" s="63"/>
    </row>
    <row r="31" spans="1:9" ht="75">
      <c r="A31" s="15" t="s">
        <v>0</v>
      </c>
      <c r="B31" s="15" t="s">
        <v>1</v>
      </c>
      <c r="C31" s="60"/>
      <c r="D31" s="60" t="s">
        <v>18</v>
      </c>
    </row>
    <row r="32" spans="1:9" ht="37.5">
      <c r="A32" s="11" t="s">
        <v>2</v>
      </c>
      <c r="B32" s="17">
        <v>2210</v>
      </c>
      <c r="C32" s="51">
        <v>7950</v>
      </c>
      <c r="D32" s="51">
        <f>7949.5+0.53</f>
        <v>7950.03</v>
      </c>
      <c r="F32" s="25"/>
    </row>
    <row r="33" spans="1:6" ht="18.75">
      <c r="A33" s="12" t="s">
        <v>3</v>
      </c>
      <c r="B33" s="17">
        <v>2230</v>
      </c>
      <c r="C33" s="51">
        <v>1410</v>
      </c>
      <c r="D33" s="51">
        <v>1387</v>
      </c>
      <c r="F33" s="25"/>
    </row>
    <row r="34" spans="1:6" ht="18.75">
      <c r="A34" s="12" t="s">
        <v>4</v>
      </c>
      <c r="B34" s="17">
        <v>2240</v>
      </c>
      <c r="C34" s="51">
        <v>1000</v>
      </c>
      <c r="D34" s="51">
        <v>950</v>
      </c>
      <c r="F34" s="25"/>
    </row>
    <row r="35" spans="1:6" ht="18.75" hidden="1">
      <c r="A35" s="12" t="s">
        <v>10</v>
      </c>
      <c r="B35" s="17">
        <v>2275</v>
      </c>
      <c r="C35" s="51"/>
      <c r="D35" s="51"/>
      <c r="F35" s="25"/>
    </row>
    <row r="36" spans="1:6" ht="18.75" hidden="1">
      <c r="A36" s="11" t="s">
        <v>15</v>
      </c>
      <c r="B36" s="17">
        <v>2800</v>
      </c>
      <c r="C36" s="51"/>
      <c r="D36" s="20"/>
      <c r="F36" s="25"/>
    </row>
    <row r="37" spans="1:6" ht="37.5" hidden="1">
      <c r="A37" s="11" t="s">
        <v>12</v>
      </c>
      <c r="B37" s="17">
        <v>3110</v>
      </c>
      <c r="C37" s="20"/>
      <c r="D37" s="20"/>
      <c r="F37" s="25"/>
    </row>
    <row r="38" spans="1:6" ht="18.75" hidden="1">
      <c r="A38" s="18" t="s">
        <v>16</v>
      </c>
      <c r="B38" s="19">
        <v>3132</v>
      </c>
      <c r="C38" s="20"/>
      <c r="D38" s="20"/>
      <c r="F38" s="25"/>
    </row>
    <row r="39" spans="1:6" ht="18.75">
      <c r="A39" s="11" t="s">
        <v>13</v>
      </c>
      <c r="B39" s="17"/>
      <c r="C39" s="52">
        <f>SUM(C32:C38)</f>
        <v>10360</v>
      </c>
      <c r="D39" s="52">
        <f>SUM(D32:D38)</f>
        <v>10287.029999999999</v>
      </c>
      <c r="F39" s="25"/>
    </row>
    <row r="40" spans="1:6">
      <c r="A40" s="1"/>
      <c r="B40" s="5"/>
      <c r="C40" s="58"/>
      <c r="D40" s="58"/>
    </row>
    <row r="41" spans="1:6">
      <c r="A41" s="1"/>
      <c r="B41" s="5"/>
      <c r="C41" s="58"/>
      <c r="D41" s="58"/>
    </row>
    <row r="42" spans="1:6" ht="33.75" customHeight="1">
      <c r="A42" s="71" t="s">
        <v>26</v>
      </c>
      <c r="B42" s="72"/>
      <c r="C42" s="72"/>
      <c r="D42" s="72"/>
    </row>
    <row r="43" spans="1:6">
      <c r="A43" s="1"/>
      <c r="B43" s="5"/>
      <c r="C43" s="58"/>
      <c r="D43" s="58"/>
    </row>
    <row r="44" spans="1:6" ht="75">
      <c r="A44" s="15" t="s">
        <v>0</v>
      </c>
      <c r="B44" s="15" t="s">
        <v>1</v>
      </c>
      <c r="C44" s="60" t="s">
        <v>23</v>
      </c>
      <c r="D44" s="60" t="s">
        <v>18</v>
      </c>
    </row>
    <row r="45" spans="1:6" ht="37.5">
      <c r="A45" s="11" t="s">
        <v>2</v>
      </c>
      <c r="B45" s="17">
        <v>2210</v>
      </c>
      <c r="C45" s="51">
        <v>21186</v>
      </c>
      <c r="D45" s="51">
        <f>930+20256</f>
        <v>21186</v>
      </c>
      <c r="F45" s="25"/>
    </row>
    <row r="46" spans="1:6" ht="18.75">
      <c r="A46" s="12" t="s">
        <v>3</v>
      </c>
      <c r="B46" s="17">
        <v>2230</v>
      </c>
      <c r="C46" s="51">
        <v>11356.84</v>
      </c>
      <c r="D46" s="51">
        <f>11356.84</f>
        <v>11356.84</v>
      </c>
      <c r="F46" s="25"/>
    </row>
    <row r="47" spans="1:6" ht="18.75" hidden="1">
      <c r="A47" s="12" t="s">
        <v>4</v>
      </c>
      <c r="B47" s="17">
        <v>2240</v>
      </c>
      <c r="C47" s="51"/>
      <c r="D47" s="51"/>
      <c r="F47" s="25"/>
    </row>
    <row r="48" spans="1:6" ht="18.75" hidden="1">
      <c r="A48" s="12" t="s">
        <v>10</v>
      </c>
      <c r="B48" s="17">
        <v>2275</v>
      </c>
      <c r="C48" s="51"/>
      <c r="D48" s="51"/>
      <c r="F48" s="25"/>
    </row>
    <row r="49" spans="1:6" ht="18.75" hidden="1">
      <c r="A49" s="11" t="s">
        <v>15</v>
      </c>
      <c r="B49" s="17">
        <v>2800</v>
      </c>
      <c r="C49" s="51"/>
      <c r="D49" s="51"/>
      <c r="F49" s="25"/>
    </row>
    <row r="50" spans="1:6" ht="37.5" hidden="1">
      <c r="A50" s="11" t="s">
        <v>12</v>
      </c>
      <c r="B50" s="17">
        <v>3110</v>
      </c>
      <c r="C50" s="51"/>
      <c r="D50" s="51"/>
      <c r="F50" s="25"/>
    </row>
    <row r="51" spans="1:6" ht="18.75" hidden="1">
      <c r="A51" s="18" t="s">
        <v>16</v>
      </c>
      <c r="B51" s="19">
        <v>3132</v>
      </c>
      <c r="C51" s="20"/>
      <c r="D51" s="20"/>
      <c r="F51" s="25"/>
    </row>
    <row r="52" spans="1:6" ht="18.75">
      <c r="A52" s="11" t="s">
        <v>13</v>
      </c>
      <c r="B52" s="17"/>
      <c r="C52" s="52">
        <f>SUM(C45:C50)</f>
        <v>32542.84</v>
      </c>
      <c r="D52" s="52">
        <f>D45+D46+D49+D50+D51+D48+D47</f>
        <v>32542.84</v>
      </c>
      <c r="F52" s="25"/>
    </row>
    <row r="54" spans="1:6" ht="35.25" customHeight="1">
      <c r="A54" s="71"/>
      <c r="B54" s="72"/>
      <c r="C54" s="72"/>
      <c r="D54" s="72"/>
    </row>
    <row r="55" spans="1:6" ht="47.25" customHeight="1">
      <c r="A55" s="71" t="s">
        <v>68</v>
      </c>
      <c r="B55" s="78"/>
      <c r="C55" s="78"/>
      <c r="D55" s="78"/>
    </row>
    <row r="58" spans="1:6" ht="18.75">
      <c r="A58" s="73" t="s">
        <v>27</v>
      </c>
      <c r="B58" s="74"/>
      <c r="C58" s="102" t="s">
        <v>28</v>
      </c>
      <c r="D58" s="103"/>
    </row>
    <row r="59" spans="1:6" ht="18.75">
      <c r="A59" s="39" t="s">
        <v>39</v>
      </c>
      <c r="B59" s="34">
        <v>2210</v>
      </c>
      <c r="C59" s="88">
        <f>405+525</f>
        <v>930</v>
      </c>
      <c r="D59" s="88"/>
    </row>
    <row r="60" spans="1:6" ht="18.75" hidden="1">
      <c r="A60" s="39" t="s">
        <v>33</v>
      </c>
      <c r="B60" s="34">
        <v>2210</v>
      </c>
      <c r="C60" s="98"/>
      <c r="D60" s="99"/>
    </row>
    <row r="61" spans="1:6" ht="18.75" hidden="1">
      <c r="A61" s="39" t="s">
        <v>36</v>
      </c>
      <c r="B61" s="34">
        <v>2210</v>
      </c>
      <c r="C61" s="98"/>
      <c r="D61" s="99"/>
    </row>
    <row r="62" spans="1:6" ht="18.75" hidden="1">
      <c r="A62" s="39" t="s">
        <v>41</v>
      </c>
      <c r="B62" s="35">
        <v>3110.221</v>
      </c>
      <c r="C62" s="98"/>
      <c r="D62" s="99"/>
    </row>
    <row r="63" spans="1:6" ht="18.75" hidden="1">
      <c r="A63" s="39" t="s">
        <v>32</v>
      </c>
      <c r="B63" s="34">
        <v>2210</v>
      </c>
      <c r="C63" s="98"/>
      <c r="D63" s="99"/>
    </row>
    <row r="64" spans="1:6" ht="18.75" hidden="1">
      <c r="A64" s="39" t="s">
        <v>34</v>
      </c>
      <c r="B64" s="34">
        <v>2210</v>
      </c>
      <c r="C64" s="98"/>
      <c r="D64" s="99"/>
    </row>
    <row r="65" spans="1:6" ht="18.75">
      <c r="A65" s="39" t="s">
        <v>40</v>
      </c>
      <c r="B65" s="34">
        <v>2210</v>
      </c>
      <c r="C65" s="89">
        <v>20256</v>
      </c>
      <c r="D65" s="90"/>
      <c r="F65" s="4"/>
    </row>
    <row r="66" spans="1:6" ht="18.75" hidden="1">
      <c r="A66" s="39" t="s">
        <v>35</v>
      </c>
      <c r="B66" s="34">
        <v>3110</v>
      </c>
      <c r="C66" s="89"/>
      <c r="D66" s="90"/>
    </row>
    <row r="67" spans="1:6" ht="18.75" hidden="1">
      <c r="A67" s="39" t="s">
        <v>37</v>
      </c>
      <c r="B67" s="34">
        <v>2210</v>
      </c>
      <c r="C67" s="89"/>
      <c r="D67" s="90"/>
    </row>
    <row r="68" spans="1:6" ht="18.75" hidden="1">
      <c r="A68" s="39" t="s">
        <v>38</v>
      </c>
      <c r="B68" s="34">
        <v>2210</v>
      </c>
      <c r="C68" s="89"/>
      <c r="D68" s="90"/>
    </row>
    <row r="69" spans="1:6" ht="18.75" hidden="1">
      <c r="A69" s="39" t="s">
        <v>50</v>
      </c>
      <c r="B69" s="34">
        <v>2240</v>
      </c>
      <c r="C69" s="89"/>
      <c r="D69" s="90"/>
    </row>
    <row r="70" spans="1:6" ht="18.75">
      <c r="A70" s="39" t="s">
        <v>42</v>
      </c>
      <c r="B70" s="34">
        <v>2230</v>
      </c>
      <c r="C70" s="89">
        <f>9126.54+2230.3</f>
        <v>11356.84</v>
      </c>
      <c r="D70" s="90"/>
    </row>
    <row r="71" spans="1:6" ht="18.75" hidden="1">
      <c r="A71" s="39" t="s">
        <v>43</v>
      </c>
      <c r="B71" s="34">
        <v>2210</v>
      </c>
      <c r="C71" s="89"/>
      <c r="D71" s="90"/>
    </row>
    <row r="72" spans="1:6" ht="18.75" hidden="1">
      <c r="A72" s="39" t="s">
        <v>49</v>
      </c>
      <c r="B72" s="34">
        <v>2210</v>
      </c>
      <c r="C72" s="89"/>
      <c r="D72" s="90"/>
    </row>
    <row r="73" spans="1:6" ht="18.75" hidden="1">
      <c r="A73" s="39" t="s">
        <v>47</v>
      </c>
      <c r="B73" s="34">
        <v>2210</v>
      </c>
      <c r="C73" s="89"/>
      <c r="D73" s="90"/>
    </row>
    <row r="74" spans="1:6" ht="18.75" hidden="1">
      <c r="A74" s="39" t="s">
        <v>46</v>
      </c>
      <c r="B74" s="34">
        <v>2210</v>
      </c>
      <c r="C74" s="89"/>
      <c r="D74" s="90"/>
    </row>
    <row r="75" spans="1:6" ht="18.75" hidden="1">
      <c r="A75" s="39" t="s">
        <v>48</v>
      </c>
      <c r="B75" s="40">
        <v>2210</v>
      </c>
      <c r="C75" s="89"/>
      <c r="D75" s="90"/>
    </row>
    <row r="76" spans="1:6" ht="18.75">
      <c r="A76" s="79"/>
      <c r="B76" s="80"/>
      <c r="C76" s="89"/>
      <c r="D76" s="90"/>
    </row>
    <row r="77" spans="1:6" ht="18.75">
      <c r="A77" s="79"/>
      <c r="B77" s="80"/>
      <c r="C77" s="91">
        <f>SUM(C59:D75)</f>
        <v>32542.84</v>
      </c>
      <c r="D77" s="92"/>
    </row>
    <row r="79" spans="1:6" ht="34.5" hidden="1" customHeight="1">
      <c r="A79" s="71" t="s">
        <v>60</v>
      </c>
      <c r="B79" s="72"/>
      <c r="C79" s="72"/>
      <c r="D79" s="72"/>
    </row>
  </sheetData>
  <mergeCells count="31">
    <mergeCell ref="A55:D55"/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  <mergeCell ref="A3:D3"/>
    <mergeCell ref="A2:D2"/>
    <mergeCell ref="A5:D5"/>
    <mergeCell ref="A29:D29"/>
    <mergeCell ref="A42:D42"/>
    <mergeCell ref="A79:D79"/>
    <mergeCell ref="A54:D54"/>
    <mergeCell ref="C64:D64"/>
    <mergeCell ref="C62:D62"/>
    <mergeCell ref="C60:D60"/>
    <mergeCell ref="C61:D61"/>
    <mergeCell ref="C63:D63"/>
    <mergeCell ref="A58:B58"/>
    <mergeCell ref="C58:D58"/>
    <mergeCell ref="C59:D59"/>
    <mergeCell ref="C65:D65"/>
    <mergeCell ref="C66:D66"/>
    <mergeCell ref="C67:D67"/>
    <mergeCell ref="C68:D68"/>
    <mergeCell ref="C69:D69"/>
    <mergeCell ref="C70:D7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I78"/>
  <sheetViews>
    <sheetView topLeftCell="A6" workbookViewId="0">
      <selection activeCell="F6" sqref="F1:F1048576"/>
    </sheetView>
  </sheetViews>
  <sheetFormatPr defaultRowHeight="15"/>
  <cols>
    <col min="1" max="1" width="40.875" style="3" customWidth="1"/>
    <col min="2" max="2" width="9.125" style="1" customWidth="1"/>
    <col min="3" max="3" width="17.75" style="55" customWidth="1"/>
    <col min="4" max="4" width="16.875" style="55" customWidth="1"/>
    <col min="5" max="5" width="10.75" hidden="1" customWidth="1"/>
    <col min="6" max="6" width="11.625" customWidth="1"/>
  </cols>
  <sheetData>
    <row r="2" spans="1:6" ht="58.5" customHeight="1">
      <c r="A2" s="76" t="s">
        <v>69</v>
      </c>
      <c r="B2" s="77"/>
      <c r="C2" s="77"/>
      <c r="D2" s="77"/>
    </row>
    <row r="3" spans="1:6" ht="42" customHeight="1">
      <c r="A3" s="86" t="s">
        <v>57</v>
      </c>
      <c r="B3" s="87"/>
      <c r="C3" s="87"/>
      <c r="D3" s="87"/>
    </row>
    <row r="4" spans="1:6" ht="18.75">
      <c r="A4" s="6"/>
      <c r="B4" s="7"/>
      <c r="C4" s="59"/>
      <c r="D4" s="59"/>
    </row>
    <row r="5" spans="1:6" ht="39.75" customHeight="1">
      <c r="A5" s="83" t="s">
        <v>24</v>
      </c>
      <c r="B5" s="84"/>
      <c r="C5" s="84"/>
      <c r="D5" s="84"/>
    </row>
    <row r="6" spans="1:6" s="2" customFormat="1" ht="75.7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6" s="2" customFormat="1" ht="18.75">
      <c r="A7" s="21" t="s">
        <v>22</v>
      </c>
      <c r="B7" s="16">
        <v>2111</v>
      </c>
      <c r="C7" s="61">
        <v>3313230</v>
      </c>
      <c r="D7" s="61">
        <v>2275553.54</v>
      </c>
      <c r="E7" s="25">
        <f>C7-D7</f>
        <v>1037676.46</v>
      </c>
      <c r="F7" s="25"/>
    </row>
    <row r="8" spans="1:6" s="2" customFormat="1" ht="18.75">
      <c r="A8" s="21" t="s">
        <v>44</v>
      </c>
      <c r="B8" s="16">
        <v>2120</v>
      </c>
      <c r="C8" s="61">
        <v>728910</v>
      </c>
      <c r="D8" s="61">
        <v>498595.46</v>
      </c>
      <c r="E8" s="25">
        <f t="shared" ref="E8:E26" si="0">C8-D8</f>
        <v>230314.53999999998</v>
      </c>
      <c r="F8" s="25"/>
    </row>
    <row r="9" spans="1:6" ht="37.5">
      <c r="A9" s="11" t="s">
        <v>2</v>
      </c>
      <c r="B9" s="16">
        <v>2210</v>
      </c>
      <c r="C9" s="20">
        <v>143805</v>
      </c>
      <c r="D9" s="20">
        <v>83735</v>
      </c>
      <c r="E9" s="25">
        <f t="shared" si="0"/>
        <v>60070</v>
      </c>
      <c r="F9" s="25"/>
    </row>
    <row r="10" spans="1:6" ht="18.75">
      <c r="A10" s="39" t="s">
        <v>70</v>
      </c>
      <c r="B10" s="16">
        <v>2220</v>
      </c>
      <c r="C10" s="20">
        <v>5030</v>
      </c>
      <c r="D10" s="20">
        <v>5020.6000000000004</v>
      </c>
      <c r="E10" s="25"/>
      <c r="F10" s="25"/>
    </row>
    <row r="11" spans="1:6" ht="18.75">
      <c r="A11" s="11" t="s">
        <v>3</v>
      </c>
      <c r="B11" s="16">
        <v>2230</v>
      </c>
      <c r="C11" s="20">
        <v>158180</v>
      </c>
      <c r="D11" s="20">
        <v>58605.8</v>
      </c>
      <c r="E11" s="25">
        <f t="shared" si="0"/>
        <v>99574.2</v>
      </c>
      <c r="F11" s="25"/>
    </row>
    <row r="12" spans="1:6" ht="18.75">
      <c r="A12" s="11" t="s">
        <v>4</v>
      </c>
      <c r="B12" s="16">
        <v>2240</v>
      </c>
      <c r="C12" s="20">
        <v>47210</v>
      </c>
      <c r="D12" s="20">
        <v>16600.07</v>
      </c>
      <c r="E12" s="25">
        <f t="shared" si="0"/>
        <v>30609.93</v>
      </c>
      <c r="F12" s="25"/>
    </row>
    <row r="13" spans="1:6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6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6" ht="37.5" hidden="1">
      <c r="A15" s="11" t="s">
        <v>7</v>
      </c>
      <c r="B15" s="16">
        <v>2272</v>
      </c>
      <c r="C15" s="20"/>
      <c r="D15" s="20"/>
      <c r="E15" s="25">
        <f t="shared" si="0"/>
        <v>0</v>
      </c>
      <c r="F15" s="25"/>
    </row>
    <row r="16" spans="1:6" ht="18.75">
      <c r="A16" s="11" t="s">
        <v>8</v>
      </c>
      <c r="B16" s="16">
        <v>2273</v>
      </c>
      <c r="C16" s="20">
        <v>50620</v>
      </c>
      <c r="D16" s="20">
        <v>28665.98</v>
      </c>
      <c r="E16" s="25">
        <f t="shared" si="0"/>
        <v>21954.02</v>
      </c>
      <c r="F16" s="25"/>
    </row>
    <row r="17" spans="1:9" ht="18.75" hidden="1">
      <c r="A17" s="11" t="s">
        <v>9</v>
      </c>
      <c r="B17" s="16">
        <v>2274</v>
      </c>
      <c r="C17" s="20"/>
      <c r="D17" s="20"/>
      <c r="E17" s="25">
        <f t="shared" si="0"/>
        <v>0</v>
      </c>
      <c r="F17" s="25"/>
    </row>
    <row r="18" spans="1:9" ht="18.75">
      <c r="A18" s="11" t="s">
        <v>10</v>
      </c>
      <c r="B18" s="16">
        <v>2275</v>
      </c>
      <c r="C18" s="20">
        <v>371606</v>
      </c>
      <c r="D18" s="20"/>
      <c r="E18" s="25">
        <f t="shared" si="0"/>
        <v>371606</v>
      </c>
      <c r="F18" s="25"/>
    </row>
    <row r="19" spans="1:9" ht="32.25" customHeight="1">
      <c r="A19" s="11" t="s">
        <v>11</v>
      </c>
      <c r="B19" s="16">
        <v>2282</v>
      </c>
      <c r="C19" s="20">
        <v>2000</v>
      </c>
      <c r="D19" s="20">
        <v>1440</v>
      </c>
      <c r="E19" s="25">
        <f t="shared" si="0"/>
        <v>560</v>
      </c>
      <c r="F19" s="25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10820</v>
      </c>
      <c r="D21" s="20">
        <v>9230.48</v>
      </c>
      <c r="E21" s="25">
        <f t="shared" si="0"/>
        <v>1589.5200000000004</v>
      </c>
      <c r="F21" s="25"/>
    </row>
    <row r="22" spans="1:9" ht="36.75" customHeight="1">
      <c r="A22" s="11" t="s">
        <v>12</v>
      </c>
      <c r="B22" s="16">
        <v>3110</v>
      </c>
      <c r="C22" s="20">
        <v>54000</v>
      </c>
      <c r="D22" s="20">
        <v>54000</v>
      </c>
      <c r="E22" s="25">
        <f t="shared" si="0"/>
        <v>0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>
      <c r="A24" s="11" t="s">
        <v>21</v>
      </c>
      <c r="B24" s="16">
        <v>3132</v>
      </c>
      <c r="C24" s="20">
        <v>2419592</v>
      </c>
      <c r="D24" s="20">
        <v>364800</v>
      </c>
      <c r="E24" s="25">
        <f t="shared" si="0"/>
        <v>2054792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6"/>
      <c r="C26" s="52">
        <f>SUM(C7:C25)</f>
        <v>7305003</v>
      </c>
      <c r="D26" s="52">
        <f>SUM(D7:D25)</f>
        <v>3396246.9299999997</v>
      </c>
      <c r="E26" s="25">
        <f t="shared" si="0"/>
        <v>3908756.0700000003</v>
      </c>
      <c r="F26" s="25"/>
    </row>
    <row r="27" spans="1:9" ht="18.75">
      <c r="A27" s="6"/>
      <c r="B27" s="22"/>
      <c r="C27" s="59"/>
      <c r="D27" s="59"/>
    </row>
    <row r="28" spans="1:9">
      <c r="C28" s="58"/>
      <c r="D28" s="58"/>
    </row>
    <row r="29" spans="1:9" ht="30" customHeight="1">
      <c r="A29" s="76" t="s">
        <v>25</v>
      </c>
      <c r="B29" s="85"/>
      <c r="C29" s="85"/>
      <c r="D29" s="85"/>
    </row>
    <row r="30" spans="1:9">
      <c r="D30" s="63"/>
    </row>
    <row r="31" spans="1:9" ht="56.25">
      <c r="A31" s="15" t="s">
        <v>0</v>
      </c>
      <c r="B31" s="15" t="s">
        <v>1</v>
      </c>
      <c r="C31" s="60"/>
      <c r="D31" s="60" t="s">
        <v>18</v>
      </c>
    </row>
    <row r="32" spans="1:9" ht="37.5">
      <c r="A32" s="11" t="s">
        <v>2</v>
      </c>
      <c r="B32" s="17">
        <v>2210</v>
      </c>
      <c r="C32" s="20">
        <v>900</v>
      </c>
      <c r="D32" s="20"/>
      <c r="F32" s="25"/>
    </row>
    <row r="33" spans="1:6" ht="18.75">
      <c r="A33" s="12" t="s">
        <v>3</v>
      </c>
      <c r="B33" s="17">
        <v>2230</v>
      </c>
      <c r="C33" s="20">
        <v>4240</v>
      </c>
      <c r="D33" s="20">
        <v>4237</v>
      </c>
      <c r="F33" s="25"/>
    </row>
    <row r="34" spans="1:6" ht="18.75" hidden="1">
      <c r="A34" s="12" t="s">
        <v>4</v>
      </c>
      <c r="B34" s="17">
        <v>2240</v>
      </c>
      <c r="C34" s="20"/>
      <c r="D34" s="20"/>
      <c r="F34" s="25"/>
    </row>
    <row r="35" spans="1:6" ht="18.75" hidden="1">
      <c r="A35" s="12" t="s">
        <v>10</v>
      </c>
      <c r="B35" s="17">
        <v>2275</v>
      </c>
      <c r="C35" s="20"/>
      <c r="D35" s="20"/>
      <c r="F35" s="25"/>
    </row>
    <row r="36" spans="1:6" ht="18.75" hidden="1">
      <c r="A36" s="11" t="s">
        <v>15</v>
      </c>
      <c r="B36" s="17">
        <v>2800</v>
      </c>
      <c r="C36" s="20"/>
      <c r="D36" s="20"/>
      <c r="F36" s="25"/>
    </row>
    <row r="37" spans="1:6" ht="37.5" hidden="1">
      <c r="A37" s="11" t="s">
        <v>12</v>
      </c>
      <c r="B37" s="17">
        <v>3110</v>
      </c>
      <c r="C37" s="20"/>
      <c r="D37" s="20"/>
      <c r="F37" s="25"/>
    </row>
    <row r="38" spans="1:6" ht="18.75" hidden="1">
      <c r="A38" s="18" t="s">
        <v>16</v>
      </c>
      <c r="B38" s="19">
        <v>3132</v>
      </c>
      <c r="C38" s="20"/>
      <c r="D38" s="20"/>
      <c r="F38" s="25"/>
    </row>
    <row r="39" spans="1:6" ht="18.75">
      <c r="A39" s="11" t="s">
        <v>13</v>
      </c>
      <c r="B39" s="17"/>
      <c r="C39" s="52">
        <f>SUM(C32:C38)</f>
        <v>5140</v>
      </c>
      <c r="D39" s="52">
        <f>SUM(D32:D38)</f>
        <v>4237</v>
      </c>
      <c r="F39" s="25"/>
    </row>
    <row r="40" spans="1:6">
      <c r="A40" s="1"/>
      <c r="B40" s="5"/>
      <c r="C40" s="58"/>
      <c r="D40" s="58"/>
    </row>
    <row r="41" spans="1:6">
      <c r="A41" s="1"/>
      <c r="B41" s="5"/>
      <c r="C41" s="58"/>
      <c r="D41" s="58"/>
    </row>
    <row r="42" spans="1:6" ht="34.5" customHeight="1">
      <c r="A42" s="71" t="s">
        <v>26</v>
      </c>
      <c r="B42" s="71"/>
      <c r="C42" s="71"/>
      <c r="D42" s="71"/>
    </row>
    <row r="43" spans="1:6">
      <c r="A43" s="1"/>
      <c r="B43" s="5"/>
      <c r="C43" s="58"/>
      <c r="D43" s="58"/>
    </row>
    <row r="44" spans="1:6" ht="56.25">
      <c r="A44" s="41" t="s">
        <v>0</v>
      </c>
      <c r="B44" s="41" t="s">
        <v>1</v>
      </c>
      <c r="C44" s="60" t="s">
        <v>23</v>
      </c>
      <c r="D44" s="60" t="s">
        <v>18</v>
      </c>
    </row>
    <row r="45" spans="1:6" ht="37.5">
      <c r="A45" s="39" t="s">
        <v>2</v>
      </c>
      <c r="B45" s="17">
        <v>2210</v>
      </c>
      <c r="C45" s="51">
        <f>26339.8+1.51</f>
        <v>26341.309999999998</v>
      </c>
      <c r="D45" s="51">
        <f>26287.8+1.51</f>
        <v>26289.309999999998</v>
      </c>
      <c r="F45" s="25"/>
    </row>
    <row r="46" spans="1:6" ht="18.75">
      <c r="A46" s="12" t="s">
        <v>3</v>
      </c>
      <c r="B46" s="17">
        <v>2230</v>
      </c>
      <c r="C46" s="51">
        <v>5600.29</v>
      </c>
      <c r="D46" s="51">
        <v>5600.29</v>
      </c>
      <c r="F46" s="25"/>
    </row>
    <row r="47" spans="1:6" ht="18.75" hidden="1">
      <c r="A47" s="12" t="s">
        <v>4</v>
      </c>
      <c r="B47" s="17">
        <v>2240</v>
      </c>
      <c r="C47" s="51"/>
      <c r="D47" s="51"/>
      <c r="F47" s="25"/>
    </row>
    <row r="48" spans="1:6" ht="18.75" hidden="1">
      <c r="A48" s="12" t="s">
        <v>10</v>
      </c>
      <c r="B48" s="17">
        <v>2275</v>
      </c>
      <c r="C48" s="51"/>
      <c r="D48" s="51"/>
      <c r="F48" s="25"/>
    </row>
    <row r="49" spans="1:6" ht="18.75" hidden="1">
      <c r="A49" s="39" t="s">
        <v>15</v>
      </c>
      <c r="B49" s="17">
        <v>2800</v>
      </c>
      <c r="C49" s="51"/>
      <c r="D49" s="51"/>
      <c r="F49" s="25"/>
    </row>
    <row r="50" spans="1:6" ht="37.5" hidden="1">
      <c r="A50" s="39" t="s">
        <v>12</v>
      </c>
      <c r="B50" s="17">
        <v>3110</v>
      </c>
      <c r="C50" s="51"/>
      <c r="D50" s="51"/>
      <c r="F50" s="25"/>
    </row>
    <row r="51" spans="1:6" ht="18.75" hidden="1">
      <c r="A51" s="18" t="s">
        <v>16</v>
      </c>
      <c r="B51" s="19">
        <v>3132</v>
      </c>
      <c r="C51" s="20"/>
      <c r="D51" s="20"/>
      <c r="F51" s="25"/>
    </row>
    <row r="52" spans="1:6" ht="18.75">
      <c r="A52" s="39" t="s">
        <v>13</v>
      </c>
      <c r="B52" s="17"/>
      <c r="C52" s="52">
        <f>SUM(C45:C51)</f>
        <v>31941.599999999999</v>
      </c>
      <c r="D52" s="52">
        <f>SUM(D45:D51)</f>
        <v>31889.599999999999</v>
      </c>
      <c r="F52" s="25"/>
    </row>
    <row r="55" spans="1:6" ht="41.25" customHeight="1">
      <c r="A55" s="71" t="s">
        <v>68</v>
      </c>
      <c r="B55" s="78"/>
      <c r="C55" s="78"/>
      <c r="D55" s="78"/>
    </row>
    <row r="56" spans="1:6" ht="37.5" customHeight="1">
      <c r="A56" s="71"/>
      <c r="B56" s="72"/>
      <c r="C56" s="72"/>
      <c r="D56" s="72"/>
    </row>
    <row r="58" spans="1:6" ht="18.75">
      <c r="A58" s="105" t="s">
        <v>27</v>
      </c>
      <c r="B58" s="106"/>
      <c r="C58" s="102" t="s">
        <v>28</v>
      </c>
      <c r="D58" s="103"/>
    </row>
    <row r="59" spans="1:6" ht="18.75">
      <c r="A59" s="39" t="s">
        <v>39</v>
      </c>
      <c r="B59" s="47">
        <v>2210</v>
      </c>
      <c r="C59" s="89">
        <f>702+1352+423.8+798+1.51</f>
        <v>3277.3100000000004</v>
      </c>
      <c r="D59" s="90"/>
      <c r="F59" s="32"/>
    </row>
    <row r="60" spans="1:6" ht="18" hidden="1" customHeight="1">
      <c r="A60" s="39" t="s">
        <v>33</v>
      </c>
      <c r="B60" s="47">
        <v>2210</v>
      </c>
      <c r="C60" s="89"/>
      <c r="D60" s="90"/>
    </row>
    <row r="61" spans="1:6" ht="18.75" customHeight="1">
      <c r="A61" s="39" t="s">
        <v>36</v>
      </c>
      <c r="B61" s="47">
        <v>2210</v>
      </c>
      <c r="C61" s="89">
        <f>4127+510</f>
        <v>4637</v>
      </c>
      <c r="D61" s="90"/>
      <c r="F61" s="4"/>
    </row>
    <row r="62" spans="1:6" ht="18.75" hidden="1" customHeight="1">
      <c r="A62" s="39" t="s">
        <v>41</v>
      </c>
      <c r="B62" s="46" t="s">
        <v>54</v>
      </c>
      <c r="C62" s="89"/>
      <c r="D62" s="90"/>
    </row>
    <row r="63" spans="1:6" ht="18.75" customHeight="1">
      <c r="A63" s="39" t="s">
        <v>32</v>
      </c>
      <c r="B63" s="47">
        <v>2210</v>
      </c>
      <c r="C63" s="89">
        <v>18375</v>
      </c>
      <c r="D63" s="90"/>
    </row>
    <row r="64" spans="1:6" ht="18.75" hidden="1" customHeight="1">
      <c r="A64" s="39" t="s">
        <v>34</v>
      </c>
      <c r="B64" s="47">
        <v>2210</v>
      </c>
      <c r="C64" s="89"/>
      <c r="D64" s="90"/>
    </row>
    <row r="65" spans="1:4" ht="18.75" hidden="1">
      <c r="A65" s="39" t="s">
        <v>40</v>
      </c>
      <c r="B65" s="47">
        <v>2210</v>
      </c>
      <c r="C65" s="89"/>
      <c r="D65" s="90"/>
    </row>
    <row r="66" spans="1:4" ht="18.75" hidden="1" customHeight="1">
      <c r="A66" s="39" t="s">
        <v>35</v>
      </c>
      <c r="B66" s="47">
        <v>3110</v>
      </c>
      <c r="C66" s="89"/>
      <c r="D66" s="90"/>
    </row>
    <row r="67" spans="1:4" ht="18.75" hidden="1" customHeight="1">
      <c r="A67" s="39" t="s">
        <v>37</v>
      </c>
      <c r="B67" s="47">
        <v>2210</v>
      </c>
      <c r="C67" s="98"/>
      <c r="D67" s="99"/>
    </row>
    <row r="68" spans="1:4" ht="18.75" hidden="1" customHeight="1">
      <c r="A68" s="39" t="s">
        <v>38</v>
      </c>
      <c r="B68" s="47">
        <v>2210</v>
      </c>
      <c r="C68" s="98"/>
      <c r="D68" s="99"/>
    </row>
    <row r="69" spans="1:4" ht="18.75" hidden="1" customHeight="1">
      <c r="A69" s="39" t="s">
        <v>50</v>
      </c>
      <c r="B69" s="47">
        <v>2240</v>
      </c>
      <c r="C69" s="98"/>
      <c r="D69" s="99"/>
    </row>
    <row r="70" spans="1:4" ht="18.75">
      <c r="A70" s="39" t="s">
        <v>42</v>
      </c>
      <c r="B70" s="47">
        <v>2230</v>
      </c>
      <c r="C70" s="89">
        <v>5600.29</v>
      </c>
      <c r="D70" s="90"/>
    </row>
    <row r="71" spans="1:4" ht="18.75" hidden="1">
      <c r="A71" s="39" t="s">
        <v>43</v>
      </c>
      <c r="B71" s="47">
        <v>2210</v>
      </c>
      <c r="C71" s="98"/>
      <c r="D71" s="99"/>
    </row>
    <row r="72" spans="1:4" ht="18.75" hidden="1" customHeight="1">
      <c r="A72" s="39" t="s">
        <v>49</v>
      </c>
      <c r="B72" s="47">
        <v>2210</v>
      </c>
      <c r="C72" s="89"/>
      <c r="D72" s="90"/>
    </row>
    <row r="73" spans="1:4" ht="18.75" hidden="1" customHeight="1">
      <c r="A73" s="39" t="s">
        <v>47</v>
      </c>
      <c r="B73" s="47">
        <v>2210</v>
      </c>
      <c r="C73" s="89"/>
      <c r="D73" s="90"/>
    </row>
    <row r="74" spans="1:4" ht="18.75" hidden="1" customHeight="1">
      <c r="A74" s="39" t="s">
        <v>46</v>
      </c>
      <c r="B74" s="47">
        <v>2210</v>
      </c>
      <c r="C74" s="89"/>
      <c r="D74" s="90"/>
    </row>
    <row r="75" spans="1:4" ht="18.75" hidden="1" customHeight="1">
      <c r="A75" s="39" t="s">
        <v>48</v>
      </c>
      <c r="B75" s="40">
        <v>2210</v>
      </c>
      <c r="C75" s="89"/>
      <c r="D75" s="90"/>
    </row>
    <row r="76" spans="1:4" ht="37.5" hidden="1">
      <c r="A76" s="39" t="s">
        <v>52</v>
      </c>
      <c r="B76" s="40">
        <v>3110</v>
      </c>
      <c r="C76" s="89"/>
      <c r="D76" s="90"/>
    </row>
    <row r="77" spans="1:4" ht="18.75">
      <c r="A77" s="79"/>
      <c r="B77" s="80"/>
      <c r="C77" s="89"/>
      <c r="D77" s="90"/>
    </row>
    <row r="78" spans="1:4" ht="18.75">
      <c r="A78" s="79"/>
      <c r="B78" s="80"/>
      <c r="C78" s="91">
        <f>SUM(C59:D77)</f>
        <v>31889.600000000002</v>
      </c>
      <c r="D78" s="92"/>
    </row>
  </sheetData>
  <mergeCells count="31">
    <mergeCell ref="C60:D60"/>
    <mergeCell ref="C59:D59"/>
    <mergeCell ref="C73:D73"/>
    <mergeCell ref="C74:D74"/>
    <mergeCell ref="C66:D66"/>
    <mergeCell ref="C67:D67"/>
    <mergeCell ref="C68:D68"/>
    <mergeCell ref="C69:D69"/>
    <mergeCell ref="C70:D70"/>
    <mergeCell ref="C72:D72"/>
    <mergeCell ref="A78:B78"/>
    <mergeCell ref="C78:D78"/>
    <mergeCell ref="C76:D76"/>
    <mergeCell ref="A77:B77"/>
    <mergeCell ref="C77:D77"/>
    <mergeCell ref="A55:D55"/>
    <mergeCell ref="C75:D75"/>
    <mergeCell ref="A3:D3"/>
    <mergeCell ref="A2:D2"/>
    <mergeCell ref="A5:D5"/>
    <mergeCell ref="A29:D29"/>
    <mergeCell ref="A42:D42"/>
    <mergeCell ref="A56:D56"/>
    <mergeCell ref="A58:B58"/>
    <mergeCell ref="C58:D58"/>
    <mergeCell ref="C61:D61"/>
    <mergeCell ref="C62:D62"/>
    <mergeCell ref="C63:D63"/>
    <mergeCell ref="C64:D64"/>
    <mergeCell ref="C65:D65"/>
    <mergeCell ref="C71:D7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I78"/>
  <sheetViews>
    <sheetView topLeftCell="A5" workbookViewId="0">
      <selection activeCell="F5" sqref="F1:F1048576"/>
    </sheetView>
  </sheetViews>
  <sheetFormatPr defaultRowHeight="15"/>
  <cols>
    <col min="1" max="1" width="40.875" style="3" customWidth="1"/>
    <col min="2" max="2" width="9.375" style="1" customWidth="1"/>
    <col min="3" max="3" width="18.25" style="55" customWidth="1"/>
    <col min="4" max="4" width="14.375" style="55" customWidth="1"/>
    <col min="5" max="5" width="10" hidden="1" customWidth="1"/>
    <col min="6" max="6" width="11.375" customWidth="1"/>
  </cols>
  <sheetData>
    <row r="2" spans="1:9" ht="58.5" customHeight="1">
      <c r="A2" s="76" t="s">
        <v>69</v>
      </c>
      <c r="B2" s="77"/>
      <c r="C2" s="77"/>
      <c r="D2" s="77"/>
    </row>
    <row r="3" spans="1:9" ht="65.25" customHeight="1">
      <c r="A3" s="86" t="s">
        <v>58</v>
      </c>
      <c r="B3" s="87"/>
      <c r="C3" s="87"/>
      <c r="D3" s="87"/>
      <c r="I3" s="30"/>
    </row>
    <row r="4" spans="1:9" ht="18.75">
      <c r="A4" s="6"/>
      <c r="B4" s="7"/>
      <c r="C4" s="59"/>
      <c r="D4" s="59"/>
    </row>
    <row r="5" spans="1:9" ht="39.75" customHeight="1">
      <c r="A5" s="83" t="s">
        <v>24</v>
      </c>
      <c r="B5" s="84"/>
      <c r="C5" s="84"/>
      <c r="D5" s="84"/>
    </row>
    <row r="6" spans="1:9" s="2" customFormat="1" ht="75.75" customHeight="1">
      <c r="A6" s="9" t="s">
        <v>0</v>
      </c>
      <c r="B6" s="9" t="s">
        <v>1</v>
      </c>
      <c r="C6" s="60" t="s">
        <v>23</v>
      </c>
      <c r="D6" s="60" t="s">
        <v>17</v>
      </c>
    </row>
    <row r="7" spans="1:9" s="2" customFormat="1" ht="18.75">
      <c r="A7" s="21" t="s">
        <v>22</v>
      </c>
      <c r="B7" s="16">
        <v>2111</v>
      </c>
      <c r="C7" s="61">
        <f>4459510+170730+802810</f>
        <v>5433050</v>
      </c>
      <c r="D7" s="61">
        <f>3106625.97+81638.67</f>
        <v>3188264.64</v>
      </c>
      <c r="E7" s="25">
        <f>C7-D7</f>
        <v>2244785.36</v>
      </c>
      <c r="F7" s="25"/>
    </row>
    <row r="8" spans="1:9" s="2" customFormat="1" ht="18.75">
      <c r="A8" s="21" t="s">
        <v>44</v>
      </c>
      <c r="B8" s="16">
        <v>2120</v>
      </c>
      <c r="C8" s="61">
        <f>981090+37560+176620</f>
        <v>1195270</v>
      </c>
      <c r="D8" s="61">
        <f>18045.17+696677.11</f>
        <v>714722.28</v>
      </c>
      <c r="E8" s="25">
        <f t="shared" ref="E8:E26" si="0">C8-D8</f>
        <v>480547.72</v>
      </c>
      <c r="F8" s="25"/>
    </row>
    <row r="9" spans="1:9" ht="37.5">
      <c r="A9" s="11" t="s">
        <v>2</v>
      </c>
      <c r="B9" s="16">
        <v>2210</v>
      </c>
      <c r="C9" s="20">
        <f>348432+2870</f>
        <v>351302</v>
      </c>
      <c r="D9" s="20">
        <v>245914.5</v>
      </c>
      <c r="E9" s="25">
        <f t="shared" si="0"/>
        <v>105387.5</v>
      </c>
      <c r="F9" s="25"/>
    </row>
    <row r="10" spans="1:9" ht="18.75">
      <c r="A10" s="39" t="s">
        <v>70</v>
      </c>
      <c r="B10" s="16">
        <v>2220</v>
      </c>
      <c r="C10" s="20">
        <v>6010</v>
      </c>
      <c r="D10" s="20">
        <v>6000</v>
      </c>
      <c r="E10" s="25"/>
      <c r="F10" s="25"/>
    </row>
    <row r="11" spans="1:9" ht="18.75">
      <c r="A11" s="11" t="s">
        <v>3</v>
      </c>
      <c r="B11" s="16">
        <v>2230</v>
      </c>
      <c r="C11" s="20">
        <v>222440</v>
      </c>
      <c r="D11" s="20">
        <v>73492.600000000006</v>
      </c>
      <c r="E11" s="25">
        <f t="shared" si="0"/>
        <v>148947.4</v>
      </c>
      <c r="F11" s="25"/>
    </row>
    <row r="12" spans="1:9" ht="18.75">
      <c r="A12" s="11" t="s">
        <v>4</v>
      </c>
      <c r="B12" s="16">
        <v>2240</v>
      </c>
      <c r="C12" s="20">
        <v>913804.44</v>
      </c>
      <c r="D12" s="20">
        <v>913794.3</v>
      </c>
      <c r="E12" s="25">
        <f t="shared" si="0"/>
        <v>10.139999999897555</v>
      </c>
      <c r="F12" s="25"/>
    </row>
    <row r="13" spans="1:9" ht="18.75" hidden="1">
      <c r="A13" s="11" t="s">
        <v>5</v>
      </c>
      <c r="B13" s="16">
        <v>2250</v>
      </c>
      <c r="C13" s="20"/>
      <c r="D13" s="20"/>
      <c r="E13" s="25">
        <f t="shared" si="0"/>
        <v>0</v>
      </c>
      <c r="F13" s="25"/>
    </row>
    <row r="14" spans="1:9" ht="18.75" hidden="1">
      <c r="A14" s="11" t="s">
        <v>6</v>
      </c>
      <c r="B14" s="16">
        <v>2271</v>
      </c>
      <c r="C14" s="20"/>
      <c r="D14" s="20"/>
      <c r="E14" s="25">
        <f t="shared" si="0"/>
        <v>0</v>
      </c>
      <c r="F14" s="25"/>
    </row>
    <row r="15" spans="1:9" ht="37.5" hidden="1">
      <c r="A15" s="11" t="s">
        <v>7</v>
      </c>
      <c r="B15" s="16">
        <v>2272</v>
      </c>
      <c r="C15" s="20"/>
      <c r="D15" s="20"/>
      <c r="E15" s="25">
        <f t="shared" si="0"/>
        <v>0</v>
      </c>
      <c r="F15" s="25"/>
    </row>
    <row r="16" spans="1:9" ht="18.75">
      <c r="A16" s="11" t="s">
        <v>8</v>
      </c>
      <c r="B16" s="16">
        <v>2273</v>
      </c>
      <c r="C16" s="20">
        <v>66490</v>
      </c>
      <c r="D16" s="20">
        <v>33954.629999999997</v>
      </c>
      <c r="E16" s="25">
        <f t="shared" si="0"/>
        <v>32535.370000000003</v>
      </c>
      <c r="F16" s="25"/>
    </row>
    <row r="17" spans="1:9" ht="18.75" hidden="1">
      <c r="A17" s="11" t="s">
        <v>9</v>
      </c>
      <c r="B17" s="16">
        <v>2274</v>
      </c>
      <c r="C17" s="20"/>
      <c r="D17" s="20"/>
      <c r="E17" s="25">
        <f t="shared" si="0"/>
        <v>0</v>
      </c>
      <c r="F17" s="25"/>
    </row>
    <row r="18" spans="1:9" ht="18.75">
      <c r="A18" s="11" t="s">
        <v>10</v>
      </c>
      <c r="B18" s="16">
        <v>2275</v>
      </c>
      <c r="C18" s="20">
        <v>424690</v>
      </c>
      <c r="D18" s="20"/>
      <c r="E18" s="25">
        <f t="shared" si="0"/>
        <v>424690</v>
      </c>
      <c r="F18" s="25"/>
    </row>
    <row r="19" spans="1:9" ht="33.75" customHeight="1">
      <c r="A19" s="11" t="s">
        <v>11</v>
      </c>
      <c r="B19" s="16">
        <v>2282</v>
      </c>
      <c r="C19" s="20">
        <v>3000</v>
      </c>
      <c r="D19" s="20">
        <v>1320</v>
      </c>
      <c r="E19" s="25">
        <f t="shared" si="0"/>
        <v>1680</v>
      </c>
      <c r="F19" s="25"/>
    </row>
    <row r="20" spans="1:9" ht="18" hidden="1" customHeight="1">
      <c r="A20" s="11" t="s">
        <v>14</v>
      </c>
      <c r="B20" s="16">
        <v>2730</v>
      </c>
      <c r="C20" s="20"/>
      <c r="D20" s="20"/>
      <c r="E20" s="25">
        <f t="shared" si="0"/>
        <v>0</v>
      </c>
      <c r="F20" s="25"/>
    </row>
    <row r="21" spans="1:9" ht="15.75" customHeight="1">
      <c r="A21" s="11" t="s">
        <v>15</v>
      </c>
      <c r="B21" s="16">
        <v>2800</v>
      </c>
      <c r="C21" s="20">
        <v>15080</v>
      </c>
      <c r="D21" s="20">
        <v>11540.7</v>
      </c>
      <c r="E21" s="25">
        <f t="shared" si="0"/>
        <v>3539.2999999999993</v>
      </c>
      <c r="F21" s="25"/>
    </row>
    <row r="22" spans="1:9" ht="39" customHeight="1">
      <c r="A22" s="11" t="s">
        <v>12</v>
      </c>
      <c r="B22" s="16">
        <v>3110</v>
      </c>
      <c r="C22" s="20">
        <v>316134</v>
      </c>
      <c r="D22" s="20">
        <v>54000</v>
      </c>
      <c r="E22" s="25">
        <f t="shared" si="0"/>
        <v>262134</v>
      </c>
      <c r="F22" s="25"/>
      <c r="H22" s="37"/>
    </row>
    <row r="23" spans="1:9" ht="37.5" hidden="1">
      <c r="A23" s="11" t="s">
        <v>20</v>
      </c>
      <c r="B23" s="16">
        <v>3122</v>
      </c>
      <c r="C23" s="20"/>
      <c r="D23" s="20"/>
      <c r="E23" s="25">
        <f t="shared" si="0"/>
        <v>0</v>
      </c>
      <c r="F23" s="25"/>
      <c r="I23" t="s">
        <v>19</v>
      </c>
    </row>
    <row r="24" spans="1:9" ht="18.75" hidden="1">
      <c r="A24" s="11" t="s">
        <v>21</v>
      </c>
      <c r="B24" s="16">
        <v>3132</v>
      </c>
      <c r="C24" s="20"/>
      <c r="D24" s="20"/>
      <c r="E24" s="25">
        <f t="shared" si="0"/>
        <v>0</v>
      </c>
      <c r="F24" s="25"/>
    </row>
    <row r="25" spans="1:9" ht="37.5" hidden="1">
      <c r="A25" s="31" t="s">
        <v>45</v>
      </c>
      <c r="B25" s="16">
        <v>3142</v>
      </c>
      <c r="C25" s="20"/>
      <c r="D25" s="20"/>
      <c r="E25" s="25">
        <f t="shared" si="0"/>
        <v>0</v>
      </c>
      <c r="F25" s="25"/>
    </row>
    <row r="26" spans="1:9" ht="18.75">
      <c r="A26" s="11" t="s">
        <v>13</v>
      </c>
      <c r="B26" s="16"/>
      <c r="C26" s="52">
        <f>SUM(C7:C25)</f>
        <v>8947270.4399999995</v>
      </c>
      <c r="D26" s="52">
        <f>SUM(D7:D25)</f>
        <v>5243003.6499999994</v>
      </c>
      <c r="E26" s="25">
        <f t="shared" si="0"/>
        <v>3704266.79</v>
      </c>
      <c r="F26" s="25"/>
    </row>
    <row r="27" spans="1:9" ht="18.75">
      <c r="A27" s="6"/>
      <c r="B27" s="7"/>
      <c r="C27" s="59"/>
      <c r="D27" s="59"/>
    </row>
    <row r="28" spans="1:9" ht="33.75" customHeight="1">
      <c r="A28" s="76" t="s">
        <v>25</v>
      </c>
      <c r="B28" s="85"/>
      <c r="C28" s="85"/>
      <c r="D28" s="85"/>
    </row>
    <row r="29" spans="1:9" ht="18.75">
      <c r="A29" s="26"/>
      <c r="B29" s="28"/>
      <c r="C29" s="67"/>
      <c r="D29" s="63"/>
    </row>
    <row r="30" spans="1:9" ht="75">
      <c r="A30" s="15" t="s">
        <v>0</v>
      </c>
      <c r="B30" s="15" t="s">
        <v>1</v>
      </c>
      <c r="C30" s="60" t="s">
        <v>23</v>
      </c>
      <c r="D30" s="60" t="s">
        <v>18</v>
      </c>
    </row>
    <row r="31" spans="1:9" ht="37.5">
      <c r="A31" s="11" t="s">
        <v>2</v>
      </c>
      <c r="B31" s="17">
        <v>2210</v>
      </c>
      <c r="C31" s="20">
        <f>2.93+5210</f>
        <v>5212.93</v>
      </c>
      <c r="D31" s="20">
        <f>2.93+2747</f>
        <v>2749.93</v>
      </c>
      <c r="F31" s="25"/>
    </row>
    <row r="32" spans="1:9" ht="18.75">
      <c r="A32" s="12" t="s">
        <v>3</v>
      </c>
      <c r="B32" s="17">
        <v>2230</v>
      </c>
      <c r="C32" s="20">
        <v>6430</v>
      </c>
      <c r="D32" s="20">
        <v>6422</v>
      </c>
      <c r="F32" s="25"/>
    </row>
    <row r="33" spans="1:6" ht="18.75" hidden="1">
      <c r="A33" s="12" t="s">
        <v>4</v>
      </c>
      <c r="B33" s="17">
        <v>2240</v>
      </c>
      <c r="C33" s="20"/>
      <c r="D33" s="20"/>
      <c r="F33" s="25"/>
    </row>
    <row r="34" spans="1:6" ht="18.75">
      <c r="A34" s="39" t="s">
        <v>10</v>
      </c>
      <c r="B34" s="34">
        <v>2275</v>
      </c>
      <c r="C34" s="20">
        <v>50</v>
      </c>
      <c r="D34" s="20"/>
      <c r="F34" s="25"/>
    </row>
    <row r="35" spans="1:6" ht="18.75" hidden="1">
      <c r="A35" s="11" t="s">
        <v>15</v>
      </c>
      <c r="B35" s="17">
        <v>2800</v>
      </c>
      <c r="C35" s="20"/>
      <c r="D35" s="20"/>
      <c r="F35" s="25"/>
    </row>
    <row r="36" spans="1:6" ht="37.5" hidden="1">
      <c r="A36" s="11" t="s">
        <v>12</v>
      </c>
      <c r="B36" s="17">
        <v>3110</v>
      </c>
      <c r="C36" s="20"/>
      <c r="D36" s="20"/>
      <c r="F36" s="25"/>
    </row>
    <row r="37" spans="1:6" ht="18.75" hidden="1">
      <c r="A37" s="18" t="s">
        <v>16</v>
      </c>
      <c r="B37" s="19">
        <v>3132</v>
      </c>
      <c r="C37" s="20"/>
      <c r="D37" s="20"/>
      <c r="F37" s="25"/>
    </row>
    <row r="38" spans="1:6" ht="18.75">
      <c r="A38" s="11" t="s">
        <v>13</v>
      </c>
      <c r="B38" s="17"/>
      <c r="C38" s="52">
        <f>SUM(C31:C37)</f>
        <v>11692.93</v>
      </c>
      <c r="D38" s="52">
        <f>SUM(D31:D37)</f>
        <v>9171.93</v>
      </c>
      <c r="F38" s="25"/>
    </row>
    <row r="39" spans="1:6" ht="18.75">
      <c r="A39" s="42"/>
      <c r="B39" s="43"/>
      <c r="C39" s="64"/>
      <c r="D39" s="64"/>
      <c r="F39" s="25"/>
    </row>
    <row r="40" spans="1:6">
      <c r="A40" s="1"/>
      <c r="B40" s="5"/>
      <c r="C40" s="58"/>
      <c r="D40" s="58"/>
    </row>
    <row r="41" spans="1:6" ht="33.75" customHeight="1">
      <c r="A41" s="71" t="s">
        <v>26</v>
      </c>
      <c r="B41" s="72"/>
      <c r="C41" s="72"/>
      <c r="D41" s="72"/>
    </row>
    <row r="42" spans="1:6">
      <c r="A42" s="1"/>
      <c r="B42" s="5"/>
      <c r="C42" s="58"/>
      <c r="D42" s="58"/>
    </row>
    <row r="43" spans="1:6" ht="75">
      <c r="A43" s="15" t="s">
        <v>0</v>
      </c>
      <c r="B43" s="15" t="s">
        <v>1</v>
      </c>
      <c r="C43" s="60" t="s">
        <v>23</v>
      </c>
      <c r="D43" s="60" t="s">
        <v>18</v>
      </c>
    </row>
    <row r="44" spans="1:6" ht="37.5">
      <c r="A44" s="11" t="s">
        <v>2</v>
      </c>
      <c r="B44" s="17">
        <v>2210</v>
      </c>
      <c r="C44" s="51">
        <v>2405.1999999999998</v>
      </c>
      <c r="D44" s="51">
        <f>2120+0.87</f>
        <v>2120.87</v>
      </c>
      <c r="E44" s="55"/>
      <c r="F44" s="57"/>
    </row>
    <row r="45" spans="1:6" ht="18.75">
      <c r="A45" s="12" t="s">
        <v>3</v>
      </c>
      <c r="B45" s="17">
        <v>2230</v>
      </c>
      <c r="C45" s="51">
        <v>11046.17</v>
      </c>
      <c r="D45" s="51">
        <v>11046.17</v>
      </c>
      <c r="E45" s="55"/>
      <c r="F45" s="57"/>
    </row>
    <row r="46" spans="1:6" ht="18.75" hidden="1">
      <c r="A46" s="12" t="s">
        <v>4</v>
      </c>
      <c r="B46" s="17">
        <v>2240</v>
      </c>
      <c r="C46" s="51"/>
      <c r="D46" s="51"/>
      <c r="E46" s="55"/>
      <c r="F46" s="57"/>
    </row>
    <row r="47" spans="1:6" ht="18.75" hidden="1">
      <c r="A47" s="12" t="s">
        <v>10</v>
      </c>
      <c r="B47" s="17">
        <v>2275</v>
      </c>
      <c r="C47" s="51"/>
      <c r="D47" s="51"/>
      <c r="E47" s="55"/>
      <c r="F47" s="57"/>
    </row>
    <row r="48" spans="1:6" ht="18.75" hidden="1">
      <c r="A48" s="11" t="s">
        <v>15</v>
      </c>
      <c r="B48" s="17">
        <v>2800</v>
      </c>
      <c r="C48" s="51"/>
      <c r="D48" s="51"/>
      <c r="E48" s="55"/>
      <c r="F48" s="57"/>
    </row>
    <row r="49" spans="1:6" ht="37.5" hidden="1">
      <c r="A49" s="11" t="s">
        <v>12</v>
      </c>
      <c r="B49" s="17">
        <v>3110</v>
      </c>
      <c r="C49" s="51"/>
      <c r="D49" s="51"/>
      <c r="E49" s="55"/>
      <c r="F49" s="57"/>
    </row>
    <row r="50" spans="1:6" ht="18.75" hidden="1">
      <c r="A50" s="18" t="s">
        <v>16</v>
      </c>
      <c r="B50" s="19">
        <v>3132</v>
      </c>
      <c r="C50" s="20"/>
      <c r="D50" s="20"/>
      <c r="E50" s="55"/>
      <c r="F50" s="57"/>
    </row>
    <row r="51" spans="1:6" ht="18.75">
      <c r="A51" s="11" t="s">
        <v>13</v>
      </c>
      <c r="B51" s="17"/>
      <c r="C51" s="52">
        <f>SUM(C44:C49)</f>
        <v>13451.369999999999</v>
      </c>
      <c r="D51" s="52">
        <f>D44+D45+D48+D49+D50+D46</f>
        <v>13167.04</v>
      </c>
      <c r="E51" s="55"/>
      <c r="F51" s="57"/>
    </row>
    <row r="52" spans="1:6">
      <c r="E52" s="55"/>
      <c r="F52" s="55"/>
    </row>
    <row r="55" spans="1:6" ht="34.5" customHeight="1">
      <c r="A55" s="71" t="s">
        <v>68</v>
      </c>
      <c r="B55" s="78"/>
      <c r="C55" s="78"/>
      <c r="D55" s="78"/>
    </row>
    <row r="57" spans="1:6" ht="18.75">
      <c r="A57" s="73" t="s">
        <v>27</v>
      </c>
      <c r="B57" s="74"/>
      <c r="C57" s="102" t="s">
        <v>28</v>
      </c>
      <c r="D57" s="103"/>
    </row>
    <row r="58" spans="1:6" ht="18.75">
      <c r="A58" s="39" t="s">
        <v>39</v>
      </c>
      <c r="B58" s="34">
        <v>2210</v>
      </c>
      <c r="C58" s="88">
        <f>594+286+780+460+0.87</f>
        <v>2120.87</v>
      </c>
      <c r="D58" s="88"/>
    </row>
    <row r="59" spans="1:6" ht="17.25" hidden="1" customHeight="1">
      <c r="A59" s="39" t="s">
        <v>33</v>
      </c>
      <c r="B59" s="34">
        <v>2210</v>
      </c>
      <c r="C59" s="98"/>
      <c r="D59" s="99"/>
    </row>
    <row r="60" spans="1:6" ht="18.75" hidden="1">
      <c r="A60" s="39" t="s">
        <v>36</v>
      </c>
      <c r="B60" s="34">
        <v>2210</v>
      </c>
      <c r="C60" s="98"/>
      <c r="D60" s="99"/>
    </row>
    <row r="61" spans="1:6" ht="18.75" hidden="1">
      <c r="A61" s="39" t="s">
        <v>41</v>
      </c>
      <c r="B61" s="35">
        <v>3110.221</v>
      </c>
      <c r="C61" s="98"/>
      <c r="D61" s="99"/>
    </row>
    <row r="62" spans="1:6" ht="18.75" hidden="1">
      <c r="A62" s="39" t="s">
        <v>32</v>
      </c>
      <c r="B62" s="34">
        <v>2210</v>
      </c>
      <c r="C62" s="98"/>
      <c r="D62" s="99"/>
    </row>
    <row r="63" spans="1:6" ht="18.75" hidden="1">
      <c r="A63" s="39" t="s">
        <v>34</v>
      </c>
      <c r="B63" s="34">
        <v>2210</v>
      </c>
      <c r="C63" s="98"/>
      <c r="D63" s="99"/>
    </row>
    <row r="64" spans="1:6" ht="18.75" hidden="1">
      <c r="A64" s="39" t="s">
        <v>40</v>
      </c>
      <c r="B64" s="34">
        <v>2210</v>
      </c>
      <c r="C64" s="98"/>
      <c r="D64" s="99"/>
    </row>
    <row r="65" spans="1:4" ht="18.75" hidden="1">
      <c r="A65" s="39" t="s">
        <v>35</v>
      </c>
      <c r="B65" s="34">
        <v>3110</v>
      </c>
      <c r="C65" s="89"/>
      <c r="D65" s="90"/>
    </row>
    <row r="66" spans="1:4" ht="18.75" hidden="1">
      <c r="A66" s="39" t="s">
        <v>37</v>
      </c>
      <c r="B66" s="34">
        <v>2210</v>
      </c>
      <c r="C66" s="98"/>
      <c r="D66" s="99"/>
    </row>
    <row r="67" spans="1:4" ht="18.75" hidden="1">
      <c r="A67" s="39" t="s">
        <v>38</v>
      </c>
      <c r="B67" s="34">
        <v>2210</v>
      </c>
      <c r="C67" s="98"/>
      <c r="D67" s="99"/>
    </row>
    <row r="68" spans="1:4" ht="18.75" hidden="1">
      <c r="A68" s="39" t="s">
        <v>50</v>
      </c>
      <c r="B68" s="34">
        <v>2240</v>
      </c>
      <c r="C68" s="98"/>
      <c r="D68" s="99"/>
    </row>
    <row r="69" spans="1:4" ht="18.75">
      <c r="A69" s="39" t="s">
        <v>42</v>
      </c>
      <c r="B69" s="34">
        <v>2230</v>
      </c>
      <c r="C69" s="89">
        <v>11046.17</v>
      </c>
      <c r="D69" s="90"/>
    </row>
    <row r="70" spans="1:4" ht="18.75" hidden="1">
      <c r="A70" s="39" t="s">
        <v>43</v>
      </c>
      <c r="B70" s="34">
        <v>2210</v>
      </c>
      <c r="C70" s="98"/>
      <c r="D70" s="99"/>
    </row>
    <row r="71" spans="1:4" ht="18.75" hidden="1">
      <c r="A71" s="39" t="s">
        <v>49</v>
      </c>
      <c r="B71" s="34">
        <v>2210</v>
      </c>
      <c r="C71" s="89"/>
      <c r="D71" s="90"/>
    </row>
    <row r="72" spans="1:4" ht="18.75" hidden="1">
      <c r="A72" s="39" t="s">
        <v>47</v>
      </c>
      <c r="B72" s="34">
        <v>2210</v>
      </c>
      <c r="C72" s="89"/>
      <c r="D72" s="90"/>
    </row>
    <row r="73" spans="1:4" ht="18.75" hidden="1">
      <c r="A73" s="39" t="s">
        <v>46</v>
      </c>
      <c r="B73" s="34">
        <v>2210</v>
      </c>
      <c r="C73" s="89"/>
      <c r="D73" s="90"/>
    </row>
    <row r="74" spans="1:4" ht="18.75" hidden="1">
      <c r="A74" s="39" t="s">
        <v>48</v>
      </c>
      <c r="B74" s="40">
        <v>2210</v>
      </c>
      <c r="C74" s="89"/>
      <c r="D74" s="90"/>
    </row>
    <row r="75" spans="1:4" ht="18.75">
      <c r="A75" s="79"/>
      <c r="B75" s="80"/>
      <c r="C75" s="89"/>
      <c r="D75" s="90"/>
    </row>
    <row r="76" spans="1:4" ht="18.75">
      <c r="A76" s="79"/>
      <c r="B76" s="80"/>
      <c r="C76" s="91">
        <f>SUM(C58:D75)</f>
        <v>13167.04</v>
      </c>
      <c r="D76" s="92"/>
    </row>
    <row r="78" spans="1:4" ht="38.25" hidden="1" customHeight="1">
      <c r="A78" s="71" t="s">
        <v>65</v>
      </c>
      <c r="B78" s="72"/>
      <c r="C78" s="72"/>
      <c r="D78" s="72"/>
    </row>
  </sheetData>
  <mergeCells count="30"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A78:D78"/>
    <mergeCell ref="C59:D59"/>
    <mergeCell ref="A3:D3"/>
    <mergeCell ref="A2:D2"/>
    <mergeCell ref="A5:D5"/>
    <mergeCell ref="A28:D28"/>
    <mergeCell ref="A41:D41"/>
    <mergeCell ref="C58:D58"/>
    <mergeCell ref="A55:D55"/>
    <mergeCell ref="A57:B57"/>
    <mergeCell ref="C57:D57"/>
    <mergeCell ref="C60:D60"/>
    <mergeCell ref="C61:D61"/>
    <mergeCell ref="C62:D62"/>
    <mergeCell ref="C63:D63"/>
    <mergeCell ref="C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2020-10-05T07:19:22Z</cp:lastPrinted>
  <dcterms:created xsi:type="dcterms:W3CDTF">2017-11-02T06:22:39Z</dcterms:created>
  <dcterms:modified xsi:type="dcterms:W3CDTF">2020-10-12T09:50:48Z</dcterms:modified>
</cp:coreProperties>
</file>